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Users\TShefler\SF Opioids Litigation\Experts\Jeziorski\Jeziorski - Amended Expert Report\Amended\Raw data\"/>
    </mc:Choice>
  </mc:AlternateContent>
  <bookViews>
    <workbookView xWindow="-105" yWindow="-105" windowWidth="28995" windowHeight="15675" activeTab="3"/>
  </bookViews>
  <sheets>
    <sheet name="Consumer Preference Profile" sheetId="9" r:id="rId1"/>
    <sheet name="Totals" sheetId="10" r:id="rId2"/>
    <sheet name="Parameters" sheetId="5" r:id="rId3"/>
    <sheet name="Impressions" sheetId="1" r:id="rId4"/>
    <sheet name="Print" sheetId="2" r:id="rId5"/>
    <sheet name="Digital" sheetId="3" r:id="rId6"/>
    <sheet name="Direct Marketing Profile" sheetId="6" r:id="rId7"/>
    <sheet name="Webtraffic predictions" sheetId="7" r:id="rId8"/>
    <sheet name="Model estimates" sheetId="8" r:id="rId9"/>
  </sheets>
  <definedNames>
    <definedName name="_xlnm._FilterDatabase" localSheetId="3" hidden="1">Impressions!$A$1:$L$65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6" i="1"/>
  <c r="J7" i="1"/>
  <c r="J8" i="1"/>
  <c r="J9" i="1"/>
  <c r="J10" i="1"/>
  <c r="J11" i="1"/>
  <c r="J12" i="1"/>
  <c r="J14" i="1"/>
  <c r="J15" i="1"/>
  <c r="J16" i="1"/>
  <c r="J17" i="1"/>
  <c r="J18" i="1"/>
  <c r="J20" i="1"/>
  <c r="J21" i="1"/>
  <c r="J22" i="1"/>
  <c r="J23" i="1"/>
  <c r="J25" i="1"/>
  <c r="J26" i="1"/>
  <c r="J28" i="1"/>
  <c r="J30" i="1"/>
  <c r="J31" i="1"/>
  <c r="J32" i="1"/>
  <c r="J34" i="1"/>
  <c r="J36" i="1"/>
  <c r="J37" i="1"/>
  <c r="J38" i="1"/>
  <c r="J40" i="1"/>
  <c r="J41" i="1"/>
  <c r="J43" i="1"/>
  <c r="J45" i="1"/>
  <c r="J46" i="1"/>
  <c r="J47" i="1"/>
  <c r="J48" i="1"/>
  <c r="J49" i="1"/>
  <c r="J51" i="1"/>
  <c r="J52" i="1"/>
  <c r="J54" i="1"/>
  <c r="J55" i="1"/>
  <c r="J57" i="1"/>
  <c r="J60" i="1"/>
  <c r="J61" i="1"/>
  <c r="J63" i="1"/>
  <c r="J65" i="1"/>
  <c r="J68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2" i="2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U7" i="9" s="1"/>
  <c r="E2" i="7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2" i="2"/>
  <c r="A4" i="9"/>
  <c r="N4" i="9"/>
  <c r="O4" i="9" s="1"/>
  <c r="P4" i="9" s="1"/>
  <c r="Q4" i="9" s="1"/>
  <c r="R4" i="9" s="1"/>
  <c r="S4" i="9" s="1"/>
  <c r="T4" i="9" s="1"/>
  <c r="M4" i="9"/>
  <c r="L4" i="9"/>
  <c r="K4" i="9"/>
  <c r="J4" i="9"/>
  <c r="I4" i="9"/>
  <c r="H4" i="9"/>
  <c r="G4" i="9"/>
  <c r="F4" i="9"/>
  <c r="U4" i="9" s="1"/>
  <c r="B4" i="9"/>
  <c r="B2" i="5"/>
  <c r="F68" i="1" l="1"/>
  <c r="C4" i="9"/>
  <c r="D4" i="9"/>
  <c r="E4" i="9"/>
  <c r="E158" i="7" l="1"/>
  <c r="F66" i="1" s="1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2" i="7"/>
  <c r="J66" i="1" l="1"/>
  <c r="B3" i="10" s="1"/>
  <c r="G64" i="1"/>
  <c r="F64" i="1"/>
  <c r="F5" i="1"/>
  <c r="E5" i="6"/>
  <c r="C5" i="6"/>
  <c r="D5" i="6"/>
  <c r="J64" i="1" l="1"/>
  <c r="J5" i="1"/>
  <c r="D3" i="3"/>
  <c r="E3" i="3" s="1"/>
  <c r="D5" i="3"/>
  <c r="E5" i="3" s="1"/>
  <c r="D6" i="3"/>
  <c r="E6" i="3" s="1"/>
  <c r="D7" i="3"/>
  <c r="E7" i="3" s="1"/>
  <c r="D8" i="3"/>
  <c r="E8" i="3" s="1"/>
  <c r="D10" i="3"/>
  <c r="E10" i="3" s="1"/>
  <c r="D11" i="3"/>
  <c r="E11" i="3" s="1"/>
  <c r="D12" i="3"/>
  <c r="E12" i="3" s="1"/>
  <c r="D13" i="3"/>
  <c r="E13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2" i="3"/>
  <c r="E2" i="3" s="1"/>
  <c r="F33" i="1" l="1"/>
  <c r="J33" i="1" l="1"/>
  <c r="B27" i="3"/>
  <c r="D27" i="3" s="1"/>
  <c r="E27" i="3" s="1"/>
  <c r="B26" i="3"/>
  <c r="D26" i="3" s="1"/>
  <c r="E26" i="3" s="1"/>
  <c r="F62" i="1"/>
  <c r="F29" i="1"/>
  <c r="F27" i="1"/>
  <c r="F24" i="1"/>
  <c r="F44" i="1"/>
  <c r="F39" i="1"/>
  <c r="F42" i="1"/>
  <c r="J42" i="1" l="1"/>
  <c r="J39" i="1"/>
  <c r="J44" i="1"/>
  <c r="J24" i="1"/>
  <c r="J27" i="1"/>
  <c r="J29" i="1"/>
  <c r="J62" i="1"/>
  <c r="F35" i="1"/>
  <c r="F13" i="1"/>
  <c r="F19" i="1"/>
  <c r="F59" i="1"/>
  <c r="F58" i="1"/>
  <c r="J35" i="1" l="1"/>
  <c r="J13" i="1"/>
  <c r="B5" i="10" s="1"/>
  <c r="J58" i="1"/>
  <c r="J59" i="1"/>
  <c r="J19" i="1"/>
  <c r="F56" i="1"/>
  <c r="J56" i="1" l="1"/>
  <c r="B1" i="10" s="1"/>
  <c r="F53" i="1"/>
  <c r="J53" i="1" l="1"/>
  <c r="B14" i="3"/>
  <c r="D14" i="3" s="1"/>
  <c r="E14" i="3" s="1"/>
  <c r="F50" i="1"/>
  <c r="J50" i="1" l="1"/>
  <c r="B4" i="10" s="1"/>
  <c r="B9" i="3"/>
  <c r="D9" i="3" s="1"/>
  <c r="E9" i="3" s="1"/>
  <c r="B4" i="3"/>
  <c r="D4" i="3" s="1"/>
  <c r="E4" i="3" s="1"/>
  <c r="J67" i="1" s="1"/>
  <c r="B2" i="10" s="1"/>
  <c r="B6" i="10" l="1"/>
  <c r="F67" i="1"/>
</calcChain>
</file>

<file path=xl/comments1.xml><?xml version="1.0" encoding="utf-8"?>
<comments xmlns="http://schemas.openxmlformats.org/spreadsheetml/2006/main">
  <authors>
    <author>tc={3C92E4FB-C550-42BB-9807-6DD04F93886D}</author>
  </authors>
  <commentList>
    <comment ref="G3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Update from 170,000 (ALLERGAN_MDL_01237763.pdf) to 280,000 (ALLERGAN_MDL_01401215.pdf, ALLERGAN_MDL_01474264.pdf, ALLERGAN_MDL_01891508.pdf)</t>
        </r>
      </text>
    </comment>
  </commentList>
</comments>
</file>

<file path=xl/comments2.xml><?xml version="1.0" encoding="utf-8"?>
<comments xmlns="http://schemas.openxmlformats.org/spreadsheetml/2006/main">
  <authors>
    <author>tc={B9106D27-6CA8-43AC-8BF6-185228003960}</author>
    <author>tc={0E9706A9-EBA1-42BB-8212-B6E055C4810A}</author>
    <author>tc={6B15AF52-40A9-4B0D-8533-09335FCD9D5C}</author>
    <author>tc={36B03791-C2DB-4C0C-B5D3-6077BCD3CB71}</author>
  </authors>
  <commentList>
    <comment ref="F4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Extrapolated from 6 months to full year, previous year data used with conservative assumption</t>
        </r>
      </text>
    </comment>
    <comment ref="G5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Typical radio show has 44 weeks a year</t>
        </r>
      </text>
    </comment>
    <comment ref="G63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Webarchive confirms the website was active 2000-2016, 2021-05-10 16_00_23-Wayback Machine — Mozilla Firefox.png</t>
        </r>
      </text>
    </comment>
    <comment ref="G64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TEVA_CHI_00042951.pdf mentions 79 representatives in 2003, page 29</t>
        </r>
      </text>
    </comment>
  </commentList>
</comments>
</file>

<file path=xl/comments3.xml><?xml version="1.0" encoding="utf-8"?>
<comments xmlns="http://schemas.openxmlformats.org/spreadsheetml/2006/main">
  <authors>
    <author>tc={2A43BFFC-7741-4B7D-A88B-3949B7200A92}</author>
    <author>tc={D4B56981-51CC-4E25-AF17-44C0896932A0}</author>
    <author>tc={B7528416-DC69-4381-92A6-80B97040FEA0}</author>
    <author>tc={7468B20E-02A8-4A04-A66E-A0279225EEBD}</author>
    <author>tc={6E9E7646-D226-4799-8C13-698818C70D3C}</author>
  </authors>
  <commentList>
    <comment ref="C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2021-05-10 13_48_26-Harborside • The Nexus of Knowledge — Mozilla Firefox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Journal by journal spending available</t>
        </r>
      </text>
    </comment>
    <comment ref="C3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89% 50368 are readers, see PDF</t>
        </r>
      </text>
    </comment>
    <comment ref="C33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2021-05-26 21_50_07-Media Kit - Anesthesia &amp; Analgesia _ Lippincott Audience Solutions _ Wolters Klu.png</t>
        </r>
      </text>
    </comment>
    <comment ref="C65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Subscribers from the website of the journal, 2021-05-26 21_45_33-Media Kit - ANESTHESIOLOGY _ Lippincott Audience Solutions _ Wolters Kluwer — Mo.png</t>
        </r>
      </text>
    </comment>
  </commentList>
</comments>
</file>

<file path=xl/comments4.xml><?xml version="1.0" encoding="utf-8"?>
<comments xmlns="http://schemas.openxmlformats.org/spreadsheetml/2006/main">
  <authors>
    <author>tc={B5CE57B8-4E49-403C-A801-49617105DE59}</author>
    <author>tc={24604A85-516E-415F-BD07-1E59C8E5329D}</author>
    <author>tc={A9A918B1-4D26-4052-B7D5-FC72BF71FEFD}</author>
    <author>tc={6BEA8350-3D3B-469C-8C87-B1E0BEE6D7FA}</author>
    <author>tc={CCAC739E-4C50-4591-BB6E-00939AC6996A}</author>
    <author>tc={FB01A2CB-A8D4-4182-8F8B-853ED3A67C8B}</author>
  </authors>
  <commentList>
    <comment ref="B1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3 months</t>
        </r>
      </text>
    </comment>
    <comment ref="B15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3 months</t>
        </r>
      </text>
    </comment>
    <comment ref="B17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3 months</t>
        </r>
      </text>
    </comment>
    <comment ref="B19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Apr-Jun 16</t>
        </r>
      </text>
    </comment>
    <comment ref="B21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Jul-Sep 16</t>
        </r>
      </text>
    </comment>
    <comment ref="B28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page 16</t>
        </r>
      </text>
    </comment>
  </commentList>
</comments>
</file>

<file path=xl/sharedStrings.xml><?xml version="1.0" encoding="utf-8"?>
<sst xmlns="http://schemas.openxmlformats.org/spreadsheetml/2006/main" count="708" uniqueCount="238">
  <si>
    <t>Program name</t>
  </si>
  <si>
    <t>Channel</t>
  </si>
  <si>
    <t>Target</t>
  </si>
  <si>
    <t>Date</t>
  </si>
  <si>
    <t>Volume</t>
  </si>
  <si>
    <t>Type</t>
  </si>
  <si>
    <t>Quantity</t>
  </si>
  <si>
    <t xml:space="preserve">Journal </t>
  </si>
  <si>
    <t>Circulation</t>
  </si>
  <si>
    <t>Year</t>
  </si>
  <si>
    <t>ASCO Post</t>
  </si>
  <si>
    <t>Ad</t>
  </si>
  <si>
    <t>JAMA – Cancer Demo</t>
  </si>
  <si>
    <t>Journal of  Clinical Oncology</t>
  </si>
  <si>
    <t>Journal of Pain</t>
  </si>
  <si>
    <t>Journal of Pain and Symptom Management</t>
  </si>
  <si>
    <t>Journal of Advanced Practitioner in Oncology</t>
  </si>
  <si>
    <t>New England Journal  of Medicine</t>
  </si>
  <si>
    <t>Oncology – Nursing Edition</t>
  </si>
  <si>
    <t>Oncology Nursing Forum</t>
  </si>
  <si>
    <t>Oncology Times</t>
  </si>
  <si>
    <t>Pain Management Nusing</t>
  </si>
  <si>
    <t>Pain Medicine</t>
  </si>
  <si>
    <t>Pain Medicine News</t>
  </si>
  <si>
    <t>Practical Pain Management</t>
  </si>
  <si>
    <t>TEVA_CAOC_00057971.ppt</t>
  </si>
  <si>
    <t>Impressions</t>
  </si>
  <si>
    <t>Banner Rotation to Complement Print Publications</t>
  </si>
  <si>
    <t xml:space="preserve">MD NetGuide </t>
  </si>
  <si>
    <t>Medscape: MedTopic eNewsletter</t>
  </si>
  <si>
    <t>QuantiaMD</t>
  </si>
  <si>
    <t>Lancet Oncology Banner Rotation</t>
  </si>
  <si>
    <t>MedPage Today Banner Rotation</t>
  </si>
  <si>
    <t>Medscape Targeted Media</t>
  </si>
  <si>
    <t>SERMO Guest Expert Posting Series</t>
  </si>
  <si>
    <t>RM Sign ups</t>
  </si>
  <si>
    <t>BTP Education Engagement</t>
  </si>
  <si>
    <t>Sponsored meetings</t>
  </si>
  <si>
    <t>In person</t>
  </si>
  <si>
    <t>HCPs</t>
  </si>
  <si>
    <t>TEVA_CAOC_00057972.ppt</t>
  </si>
  <si>
    <t>Telemarketing</t>
  </si>
  <si>
    <t>Call</t>
  </si>
  <si>
    <t>Physicians</t>
  </si>
  <si>
    <t>TEVA_CAOC_00696029.xlsx</t>
  </si>
  <si>
    <t>Speakers</t>
  </si>
  <si>
    <t>TEVA_CAOC_01160585.xlsx</t>
  </si>
  <si>
    <t>Regional symposia</t>
  </si>
  <si>
    <t>TEVA_CAOC_01196126.xls</t>
  </si>
  <si>
    <t>RiskMAP initiative</t>
  </si>
  <si>
    <t>Patients</t>
  </si>
  <si>
    <t>TEVA_CAOC_01806007.ppt</t>
  </si>
  <si>
    <t>Consultant meetings</t>
  </si>
  <si>
    <t>MDs</t>
  </si>
  <si>
    <t>ACTIQ NATIONAL CONSULTANTS MEETING</t>
  </si>
  <si>
    <t>Consultant</t>
  </si>
  <si>
    <t>TEVA_CAOC_02134227.xls</t>
  </si>
  <si>
    <t>Impressions, Fentora, Search</t>
  </si>
  <si>
    <t>Impressions, Fentora, Disiplay</t>
  </si>
  <si>
    <t>Fentora detailing</t>
  </si>
  <si>
    <t>Unknown</t>
  </si>
  <si>
    <t>TEVA_CAOC_06436982.xlsb</t>
  </si>
  <si>
    <t>Speaker programs Fentora</t>
  </si>
  <si>
    <t>NPP email</t>
  </si>
  <si>
    <t>Impressions NPP, Fentora</t>
  </si>
  <si>
    <t>TEVA_CAOC_06437008.xlsb</t>
  </si>
  <si>
    <t>Reimbursment support</t>
  </si>
  <si>
    <t>TEVA_CAOC_06437065.xlsb</t>
  </si>
  <si>
    <t>Individual programs</t>
  </si>
  <si>
    <t>TEVA_CAOC_06648256.xls</t>
  </si>
  <si>
    <t>TEVA_CAOC_07394548.xlsb</t>
  </si>
  <si>
    <t>In person details</t>
  </si>
  <si>
    <t>Ready for REMS</t>
  </si>
  <si>
    <t>TEVA_CAOC_08791796.ppt</t>
  </si>
  <si>
    <t>Speaker series 2004</t>
  </si>
  <si>
    <t>TEVA_CAOC_09429750.csv</t>
  </si>
  <si>
    <t>Fentora CSP Programs</t>
  </si>
  <si>
    <t>TEVA_MDL_A_00338667.xls</t>
  </si>
  <si>
    <t>Market Conditioning &amp; Brand Awareness</t>
  </si>
  <si>
    <t>TEVA_MDL_A_00365421.ppt</t>
  </si>
  <si>
    <t>Physician targets</t>
  </si>
  <si>
    <t>TEVA_MDL_A_00454816.pdf</t>
  </si>
  <si>
    <t>TEVA_MDL_A_00555493.ppt</t>
  </si>
  <si>
    <t>Rep-driven messaging</t>
  </si>
  <si>
    <t>Teledetailing</t>
  </si>
  <si>
    <t>Fentora Rx vouchers</t>
  </si>
  <si>
    <t>Voucher</t>
  </si>
  <si>
    <t>TEVA_MDL_A_00556014.pptx</t>
  </si>
  <si>
    <t>TEVA_MDL_A_00681247.xls</t>
  </si>
  <si>
    <t>TEVA_MDL_A_00718838.ppt</t>
  </si>
  <si>
    <t xml:space="preserve">Detailing </t>
  </si>
  <si>
    <t>TEVA_MDL_A_01130614.xls</t>
  </si>
  <si>
    <t xml:space="preserve">Persistent and break-though pain </t>
  </si>
  <si>
    <t>Various</t>
  </si>
  <si>
    <t>TEVA_MDL_A_00755335.pdf</t>
  </si>
  <si>
    <t>TEVA_MDL_A_00763718.xlsx</t>
  </si>
  <si>
    <t>TEVA_MDL_A_00850103.pdf</t>
  </si>
  <si>
    <t>Promotional messages</t>
  </si>
  <si>
    <t>TEVA_MDL_A_01163388.ppt</t>
  </si>
  <si>
    <t>Actiq chart study</t>
  </si>
  <si>
    <t>Actiq pulse survey</t>
  </si>
  <si>
    <t>Branded debit card + voucher redemptions</t>
  </si>
  <si>
    <t xml:space="preserve">Telemarketing </t>
  </si>
  <si>
    <t>TEVA_MDL_A_01211474.pdf</t>
  </si>
  <si>
    <t>California Academy of Family Physicians Opioid REMS Survey</t>
  </si>
  <si>
    <t>TEVA_MDL_A_01397431.ppt</t>
  </si>
  <si>
    <t>REMS congresses</t>
  </si>
  <si>
    <t>Regional meetings</t>
  </si>
  <si>
    <t>Targeted promotion</t>
  </si>
  <si>
    <t>TEVA_MDL_A_01543547.ppt</t>
  </si>
  <si>
    <t>e-detailing</t>
  </si>
  <si>
    <t>Mailings</t>
  </si>
  <si>
    <t>Direct mail</t>
  </si>
  <si>
    <t>Pads</t>
  </si>
  <si>
    <t>Tools</t>
  </si>
  <si>
    <t>Constent Service Providers</t>
  </si>
  <si>
    <t>Doc alert</t>
  </si>
  <si>
    <t>Digital</t>
  </si>
  <si>
    <t>Monographs and sponsored research</t>
  </si>
  <si>
    <t>TEVA_MDL_A_02487629.xls</t>
  </si>
  <si>
    <t>Anesthesiology</t>
  </si>
  <si>
    <t>Anesthesiology News</t>
  </si>
  <si>
    <t>Total exposures</t>
  </si>
  <si>
    <t>Valasar targeted media mailing list</t>
  </si>
  <si>
    <t>Prospective Program</t>
  </si>
  <si>
    <t>TEVA_MDL_A_03248892.ppt</t>
  </si>
  <si>
    <t>Physician activities</t>
  </si>
  <si>
    <t>TEVA_MDL_A_04110454.xls</t>
  </si>
  <si>
    <t xml:space="preserve">Pharmacy survey </t>
  </si>
  <si>
    <t>Pharmacists</t>
  </si>
  <si>
    <t>TEVA_MDL_A_06789499.pdf</t>
  </si>
  <si>
    <t>TEVA_MDL_A_05313123.pdf</t>
  </si>
  <si>
    <t>Aches and gains</t>
  </si>
  <si>
    <t>Radio ad</t>
  </si>
  <si>
    <t>Conventions</t>
  </si>
  <si>
    <t>TEVA_MDL_A_06877976.xls</t>
  </si>
  <si>
    <t>TEVA_MDL_A_08657147.pdf</t>
  </si>
  <si>
    <t xml:space="preserve">PPC </t>
  </si>
  <si>
    <t>Doximity NPC network</t>
  </si>
  <si>
    <t xml:space="preserve">OLA </t>
  </si>
  <si>
    <t>Specific Media Contobox</t>
  </si>
  <si>
    <t>Aches and gains WBAL</t>
  </si>
  <si>
    <t>Pain matters Website visits</t>
  </si>
  <si>
    <t>TEVA_MDL_A_08762981.pdf</t>
  </si>
  <si>
    <t>Pain matters Impressions, Paid social</t>
  </si>
  <si>
    <t>Pain matters Impressions, Paid search</t>
  </si>
  <si>
    <t>Pain matters Impressions, Paid display</t>
  </si>
  <si>
    <t>Pain matters Impressions, Rich media</t>
  </si>
  <si>
    <t>Pain matters Conference Coverage Performance</t>
  </si>
  <si>
    <t>Fentora telemarketing</t>
  </si>
  <si>
    <t>sNDA submission impressions</t>
  </si>
  <si>
    <t>TEV_FE00033412.pdf</t>
  </si>
  <si>
    <t>TEVA_MDL_A_08726892.pdf</t>
  </si>
  <si>
    <t xml:space="preserve">Type </t>
  </si>
  <si>
    <t>Total impressions</t>
  </si>
  <si>
    <t>SF prescitpion share</t>
  </si>
  <si>
    <t>SF population share</t>
  </si>
  <si>
    <t>Print</t>
  </si>
  <si>
    <t>Viewability</t>
  </si>
  <si>
    <t>General viewability</t>
  </si>
  <si>
    <t>Influencers</t>
  </si>
  <si>
    <t>Direct</t>
  </si>
  <si>
    <t>Collateral</t>
  </si>
  <si>
    <t>Owned media</t>
  </si>
  <si>
    <t>Website</t>
  </si>
  <si>
    <t>Email</t>
  </si>
  <si>
    <t>Paid media</t>
  </si>
  <si>
    <t>Conference</t>
  </si>
  <si>
    <t>Vouchers</t>
  </si>
  <si>
    <t>Meetings</t>
  </si>
  <si>
    <t>Educational</t>
  </si>
  <si>
    <t>TEVA_MDL_A_02875711.ppt
TEVA_MDL_A_02875713.pdf</t>
  </si>
  <si>
    <t>SF Count</t>
  </si>
  <si>
    <t>Open rate</t>
  </si>
  <si>
    <t>Document</t>
  </si>
  <si>
    <t>SF impressions</t>
  </si>
  <si>
    <t>In-person</t>
  </si>
  <si>
    <t>Oncology</t>
  </si>
  <si>
    <t>Pain digest</t>
  </si>
  <si>
    <t>Oncology News International</t>
  </si>
  <si>
    <t>Anestesia and Analgesia</t>
  </si>
  <si>
    <t>Americal Journal of Anesthesiology</t>
  </si>
  <si>
    <t xml:space="preserve">Oncology </t>
  </si>
  <si>
    <t>American Journal of Oncology Review</t>
  </si>
  <si>
    <t>MD Net Guide Oncology Edition</t>
  </si>
  <si>
    <t>Pain.com</t>
  </si>
  <si>
    <t>TEVA_CHI_00042882.pdf</t>
  </si>
  <si>
    <t xml:space="preserve">Coupons </t>
  </si>
  <si>
    <t>TEVA_CHI_00042951.pdf</t>
  </si>
  <si>
    <t>Actiq Medical Meetings, American Society of Anesthesiology</t>
  </si>
  <si>
    <t>TEVA_CHI_00042951.pdf
TEVA_CHI_00042882.pdf</t>
  </si>
  <si>
    <t>Oncology Net Guide</t>
  </si>
  <si>
    <t>Journal of Medical Association - Cancer Demo</t>
  </si>
  <si>
    <t>Journal of Supportive Oncology</t>
  </si>
  <si>
    <t>TEVA_CHI_00043010.pdf</t>
  </si>
  <si>
    <t xml:space="preserve">Jounal Exposures </t>
  </si>
  <si>
    <t>Index</t>
  </si>
  <si>
    <t>Data X</t>
  </si>
  <si>
    <t>Data Y</t>
  </si>
  <si>
    <t>Data Log 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</si>
  <si>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</si>
  <si>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</si>
  <si>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</si>
  <si>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</si>
  <si>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</si>
  <si>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</si>
  <si>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</si>
  <si>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</si>
  <si>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</si>
  <si>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</si>
  <si>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</si>
  <si>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</si>
  <si>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</si>
  <si>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</si>
  <si>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</si>
  <si>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</si>
  <si>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</si>
  <si>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</si>
  <si>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</si>
  <si>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</si>
  <si>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</si>
  <si>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</si>
  <si>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</si>
  <si>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</si>
  <si>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</si>
  <si>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Prediction</t>
  </si>
  <si>
    <t>Conservative prediction</t>
  </si>
  <si>
    <t>various</t>
  </si>
  <si>
    <t>Direct Marketing Profile</t>
  </si>
  <si>
    <t>Fentora.com</t>
  </si>
  <si>
    <t>Paid Media</t>
  </si>
  <si>
    <t>Owned Media</t>
  </si>
  <si>
    <t>Documents and Exhibits</t>
  </si>
  <si>
    <t>TEVA_CHI_00042882.pdf
TEVA_MDL_A_01856751.xls</t>
  </si>
  <si>
    <t>own calculations</t>
  </si>
  <si>
    <t>2/1/2009+A1</t>
  </si>
  <si>
    <t>Pain matters print (offline)</t>
  </si>
  <si>
    <t>Impressions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</si>
</sst>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000"/>
    <numFmt numFmtId="165" formatCode="0.000%"/>
    <numFmt numFmtId="166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9"/>
      <color theme="1"/>
      <name val="Segoe UI"/>
      <family val="2"/>
    </font>
    <font>
      <b/>
      <sz val="11"/>
      <name val="Arial Narrow"/>
      <family val="2"/>
    </font>
    <font>
      <i/>
      <sz val="11"/>
      <color theme="1"/>
      <name val="Calibri"/>
      <family val="2"/>
      <scheme val="minor"/>
    </font>
    <font>
      <sz val="10"/>
      <color theme="1"/>
      <name val="Liberation Serif"/>
      <family val="1"/>
    </font>
    <font>
      <sz val="11"/>
      <color theme="1"/>
      <name val="Roboto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hair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0" fontId="0" fillId="0" borderId="2" xfId="0" applyBorder="1" applyAlignment="1">
      <alignment vertical="center" wrapText="1"/>
    </xf>
    <xf numFmtId="3" fontId="3" fillId="0" borderId="0" xfId="0" applyNumberFormat="1" applyFont="1"/>
    <xf numFmtId="1" fontId="0" fillId="0" borderId="0" xfId="0" applyNumberFormat="1"/>
    <xf numFmtId="3" fontId="2" fillId="0" borderId="0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5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3" fontId="4" fillId="0" borderId="0" xfId="0" applyNumberFormat="1" applyFont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3" fontId="7" fillId="0" borderId="0" xfId="0" applyNumberFormat="1" applyFont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 applyAlignment="1"/>
    <xf numFmtId="0" fontId="0" fillId="0" borderId="5" xfId="0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Continuous"/>
    </xf>
    <xf numFmtId="164" fontId="0" fillId="0" borderId="0" xfId="0" applyNumberFormat="1"/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left" vertical="center" wrapText="1"/>
    </xf>
    <xf numFmtId="165" fontId="0" fillId="0" borderId="0" xfId="0" applyNumberFormat="1"/>
    <xf numFmtId="165" fontId="0" fillId="0" borderId="0" xfId="2" applyNumberFormat="1" applyFont="1"/>
    <xf numFmtId="10" fontId="0" fillId="0" borderId="0" xfId="0" applyNumberFormat="1"/>
    <xf numFmtId="166" fontId="0" fillId="0" borderId="0" xfId="0" applyNumberFormat="1"/>
    <xf numFmtId="0" fontId="0" fillId="0" borderId="0" xfId="0" applyNumberFormat="1" applyFont="1"/>
    <xf numFmtId="0" fontId="0" fillId="0" borderId="0" xfId="0" applyNumberFormat="1" applyFont="1" applyAlignment="1">
      <alignment horizontal="left" vertical="center" readingOrder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wrapText="1"/>
    </xf>
    <xf numFmtId="0" fontId="10" fillId="0" borderId="0" xfId="0" applyFont="1"/>
    <xf numFmtId="3" fontId="0" fillId="0" borderId="0" xfId="0" applyNumberFormat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104775</xdr:colOff>
      <xdr:row>5</xdr:row>
      <xdr:rowOff>104775</xdr:rowOff>
    </xdr:to>
    <xdr:pic>
      <xdr:nvPicPr>
        <xdr:cNvPr id="2" name="Picture 1" descr="Increase">
          <a:extLst>
            <a:ext uri="{FF2B5EF4-FFF2-40B4-BE49-F238E27FC236}">
              <a16:creationId xmlns:a16="http://schemas.microsoft.com/office/drawing/2014/main" id="{A4D311C2-7D9C-4EAE-8B67-B5A78A93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919163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104775</xdr:colOff>
      <xdr:row>5</xdr:row>
      <xdr:rowOff>104775</xdr:rowOff>
    </xdr:to>
    <xdr:pic>
      <xdr:nvPicPr>
        <xdr:cNvPr id="3" name="Picture 2" descr="Increase">
          <a:extLst>
            <a:ext uri="{FF2B5EF4-FFF2-40B4-BE49-F238E27FC236}">
              <a16:creationId xmlns:a16="http://schemas.microsoft.com/office/drawing/2014/main" id="{66C89093-2227-4285-AE0A-6B6953E3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8463" y="919163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104775</xdr:colOff>
      <xdr:row>5</xdr:row>
      <xdr:rowOff>104775</xdr:rowOff>
    </xdr:to>
    <xdr:pic>
      <xdr:nvPicPr>
        <xdr:cNvPr id="4" name="Picture 3" descr="Increase">
          <a:extLst>
            <a:ext uri="{FF2B5EF4-FFF2-40B4-BE49-F238E27FC236}">
              <a16:creationId xmlns:a16="http://schemas.microsoft.com/office/drawing/2014/main" id="{FAC5CB60-9A4D-444F-B055-22953F61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0463" y="919163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zemyslaw Jeziorski" id="{FDB7422E-4ABD-4191-8DC0-DBEE8BBE89E3}" userId="Przemyslaw Jeziorski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2" dT="2021-05-02T20:39:02.88" personId="{FDB7422E-4ABD-4191-8DC0-DBEE8BBE89E3}" id="{3C92E4FB-C550-42BB-9807-6DD04F93886D}">
    <text>Update from 170,000 (ALLERGAN_MDL_01237763.pdf) to 280,000 (ALLERGAN_MDL_01401215.pdf, ALLERGAN_MDL_01474264.pdf, ALLERGAN_MDL_01891508.pdf)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42" dT="2021-05-06T03:03:44.98" personId="{FDB7422E-4ABD-4191-8DC0-DBEE8BBE89E3}" id="{B9106D27-6CA8-43AC-8BF6-185228003960}">
    <text>Extrapolated from 6 months to full year, previous year data used with conservative assumption</text>
  </threadedComment>
  <threadedComment ref="G57" dT="2021-05-27T05:03:17.65" personId="{FDB7422E-4ABD-4191-8DC0-DBEE8BBE89E3}" id="{0E9706A9-EBA1-42BB-8212-B6E055C4810A}">
    <text>Typical radio show has 44 weeks a year</text>
  </threadedComment>
  <threadedComment ref="G63" dT="2021-05-10T23:00:00.64" personId="{FDB7422E-4ABD-4191-8DC0-DBEE8BBE89E3}" id="{6B15AF52-40A9-4B0D-8533-09335FCD9D5C}">
    <text>Webarchive confirms the website was active 2000-2016, 2021-05-10 16_00_23-Wayback Machine — Mozilla Firefox.png</text>
  </threadedComment>
  <threadedComment ref="G64" dT="2021-05-10T23:06:20.87" personId="{FDB7422E-4ABD-4191-8DC0-DBEE8BBE89E3}" id="{36B03791-C2DB-4C0C-B5D3-6077BCD3CB71}">
    <text>TEVA_CHI_00042951.pdf mentions 79 representatives in 2003, page 29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2" dT="2021-05-10T20:49:06.69" personId="{FDB7422E-4ABD-4191-8DC0-DBEE8BBE89E3}" id="{2A43BFFC-7741-4B7D-A88B-3949B7200A92}">
    <text>2021-05-10 13_48_26-Harborside • The Nexus of Knowledge — Mozilla Firefox</text>
  </threadedComment>
  <threadedComment ref="C17" dT="2021-05-06T23:49:00.15" personId="{FDB7422E-4ABD-4191-8DC0-DBEE8BBE89E3}" id="{D4B56981-51CC-4E25-AF17-44C0896932A0}">
    <text>Journal by journal spending available</text>
  </threadedComment>
  <threadedComment ref="C31" dT="2021-05-27T04:53:03.11" personId="{FDB7422E-4ABD-4191-8DC0-DBEE8BBE89E3}" id="{B7528416-DC69-4381-92A6-80B97040FEA0}">
    <text>89% 50368 are readers, see PDF</text>
  </threadedComment>
  <threadedComment ref="C33" dT="2021-05-27T04:50:26.38" personId="{FDB7422E-4ABD-4191-8DC0-DBEE8BBE89E3}" id="{7468B20E-02A8-4A04-A66E-A0279225EEBD}">
    <text>2021-05-26 21_50_07-Media Kit - Anesthesia &amp; Analgesia _ Lippincott Audience Solutions _ Wolters Klu.png</text>
  </threadedComment>
  <threadedComment ref="C65" dT="2021-05-27T04:45:24.08" personId="{FDB7422E-4ABD-4191-8DC0-DBEE8BBE89E3}" id="{6E9E7646-D226-4799-8C13-698818C70D3C}">
    <text>Subscribers from the website of the journal, 2021-05-26 21_45_33-Media Kit - ANESTHESIOLOGY _ Lippincott Audience Solutions _ Wolters Kluwer — Mo.png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2" dT="2021-05-04T04:52:43.65" personId="{FDB7422E-4ABD-4191-8DC0-DBEE8BBE89E3}" id="{B5CE57B8-4E49-403C-A801-49617105DE59}">
    <text>3 months</text>
  </threadedComment>
  <threadedComment ref="B15" dT="2021-05-04T04:52:43.65" personId="{FDB7422E-4ABD-4191-8DC0-DBEE8BBE89E3}" id="{24604A85-516E-415F-BD07-1E59C8E5329D}">
    <text>3 months</text>
  </threadedComment>
  <threadedComment ref="B17" dT="2021-05-04T04:52:43.65" personId="{FDB7422E-4ABD-4191-8DC0-DBEE8BBE89E3}" id="{A9A918B1-4D26-4052-B7D5-FC72BF71FEFD}">
    <text>3 months</text>
  </threadedComment>
  <threadedComment ref="B19" dT="2021-05-04T04:52:43.65" personId="{FDB7422E-4ABD-4191-8DC0-DBEE8BBE89E3}" id="{6BEA8350-3D3B-469C-8C87-B1E0BEE6D7FA}">
    <text>Apr-Jun 16</text>
  </threadedComment>
  <threadedComment ref="B21" dT="2021-05-04T04:52:43.65" personId="{FDB7422E-4ABD-4191-8DC0-DBEE8BBE89E3}" id="{CCAC739E-4C50-4591-BB6E-00939AC6996A}">
    <text>Jul-Sep 16</text>
  </threadedComment>
  <threadedComment ref="B28" dT="2021-05-07T00:48:43.17" personId="{FDB7422E-4ABD-4191-8DC0-DBEE8BBE89E3}" id="{FB01A2CB-A8D4-4182-8F8B-853ED3A67C8B}">
    <text>page 16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workbookViewId="0">
      <selection activeCell="H21" sqref="H21"/>
    </sheetView>
  </sheetViews>
  <sheetFormatPr defaultRowHeight="15"/>
  <cols>
    <col min="1" max="1" width="19.85546875" bestFit="1" customWidth="1"/>
    <col min="2" max="20" width="10.7109375" bestFit="1" customWidth="1"/>
  </cols>
  <sheetData>
    <row r="1" spans="1:21" ht="15.75" thickBot="1">
      <c r="A1">
        <v>2001</v>
      </c>
      <c r="B1">
        <v>2002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O1">
        <v>2015</v>
      </c>
      <c r="P1">
        <v>2016</v>
      </c>
      <c r="Q1">
        <v>2017</v>
      </c>
      <c r="R1">
        <v>2018</v>
      </c>
      <c r="S1">
        <v>2019</v>
      </c>
      <c r="T1">
        <v>2020</v>
      </c>
      <c r="U1" t="s">
        <v>227</v>
      </c>
    </row>
    <row r="2" spans="1:21" ht="15.75" thickBot="1">
      <c r="F2" s="25">
        <v>460</v>
      </c>
      <c r="G2" s="26">
        <v>474</v>
      </c>
      <c r="H2" s="26">
        <v>493</v>
      </c>
      <c r="I2" s="26">
        <v>464</v>
      </c>
      <c r="J2" s="26">
        <v>497</v>
      </c>
      <c r="K2" s="26">
        <v>533</v>
      </c>
      <c r="L2" s="26">
        <v>446</v>
      </c>
      <c r="M2" s="26">
        <v>556</v>
      </c>
      <c r="N2" s="26">
        <v>570</v>
      </c>
    </row>
    <row r="3" spans="1:21" ht="15.75" thickBot="1">
      <c r="F3" s="27">
        <v>487010</v>
      </c>
      <c r="G3" s="28">
        <v>526136</v>
      </c>
      <c r="H3" s="28">
        <v>508361</v>
      </c>
      <c r="I3" s="28">
        <v>502629</v>
      </c>
      <c r="J3" s="28">
        <v>509588</v>
      </c>
      <c r="K3" s="28">
        <v>515615</v>
      </c>
      <c r="L3" s="28">
        <v>469112</v>
      </c>
      <c r="M3" s="28">
        <v>498654</v>
      </c>
      <c r="N3" s="28">
        <v>487821</v>
      </c>
    </row>
    <row r="4" spans="1:21">
      <c r="A4" s="29">
        <f>$F$4</f>
        <v>9.4453912650664261E-4</v>
      </c>
      <c r="B4" s="29">
        <f>$F$4</f>
        <v>9.4453912650664261E-4</v>
      </c>
      <c r="C4" s="29">
        <f t="shared" ref="C4:E4" si="0">$F$4</f>
        <v>9.4453912650664261E-4</v>
      </c>
      <c r="D4" s="29">
        <f t="shared" si="0"/>
        <v>9.4453912650664261E-4</v>
      </c>
      <c r="E4" s="29">
        <f t="shared" si="0"/>
        <v>9.4453912650664261E-4</v>
      </c>
      <c r="F4" s="30">
        <f>F2/F3</f>
        <v>9.4453912650664261E-4</v>
      </c>
      <c r="G4" s="30">
        <f t="shared" ref="G4:N4" si="1">G2/G3</f>
        <v>9.0090775008742983E-4</v>
      </c>
      <c r="H4" s="30">
        <f t="shared" si="1"/>
        <v>9.6978328392618627E-4</v>
      </c>
      <c r="I4" s="30">
        <f t="shared" si="1"/>
        <v>9.2314609781767466E-4</v>
      </c>
      <c r="J4" s="30">
        <f t="shared" si="1"/>
        <v>9.7529769146840193E-4</v>
      </c>
      <c r="K4" s="30">
        <f t="shared" si="1"/>
        <v>1.0337170175421585E-3</v>
      </c>
      <c r="L4" s="30">
        <f t="shared" si="1"/>
        <v>9.5073244768839854E-4</v>
      </c>
      <c r="M4" s="30">
        <f t="shared" si="1"/>
        <v>1.1150015842648409E-3</v>
      </c>
      <c r="N4" s="30">
        <f t="shared" si="1"/>
        <v>1.1684613823513133E-3</v>
      </c>
      <c r="O4" s="29">
        <f>N4</f>
        <v>1.1684613823513133E-3</v>
      </c>
      <c r="P4" s="29">
        <f t="shared" ref="P4:T4" si="2">O4</f>
        <v>1.1684613823513133E-3</v>
      </c>
      <c r="Q4" s="29">
        <f t="shared" si="2"/>
        <v>1.1684613823513133E-3</v>
      </c>
      <c r="R4" s="29">
        <f t="shared" si="2"/>
        <v>1.1684613823513133E-3</v>
      </c>
      <c r="S4" s="29">
        <f t="shared" si="2"/>
        <v>1.1684613823513133E-3</v>
      </c>
      <c r="T4" s="29">
        <f t="shared" si="2"/>
        <v>1.1684613823513133E-3</v>
      </c>
      <c r="U4" s="29">
        <f>AVERAGE(F4:N4)</f>
        <v>9.9795404240589402E-4</v>
      </c>
    </row>
    <row r="5" spans="1:21">
      <c r="A5" s="1">
        <v>776733</v>
      </c>
      <c r="B5" s="1">
        <v>776733</v>
      </c>
      <c r="C5" s="1">
        <v>776733</v>
      </c>
      <c r="D5" s="1">
        <v>776733</v>
      </c>
      <c r="E5" s="39">
        <v>805235</v>
      </c>
      <c r="F5" s="39">
        <v>805235</v>
      </c>
      <c r="G5" s="39">
        <v>805235</v>
      </c>
      <c r="H5" s="39">
        <v>805235</v>
      </c>
      <c r="I5" s="39">
        <v>805235</v>
      </c>
      <c r="J5" s="39">
        <v>805235</v>
      </c>
      <c r="K5" s="39">
        <v>805235</v>
      </c>
      <c r="L5" s="39">
        <v>805235</v>
      </c>
      <c r="M5" s="39">
        <v>805235</v>
      </c>
      <c r="N5" s="39">
        <v>805235</v>
      </c>
      <c r="O5" s="1">
        <v>873965</v>
      </c>
      <c r="P5" s="1">
        <v>873965</v>
      </c>
      <c r="Q5" s="1">
        <v>873965</v>
      </c>
      <c r="R5" s="1">
        <v>873965</v>
      </c>
      <c r="S5" s="1">
        <v>873965</v>
      </c>
      <c r="T5" s="1">
        <v>873965</v>
      </c>
    </row>
    <row r="6" spans="1:21">
      <c r="A6" s="39">
        <v>281421906</v>
      </c>
      <c r="B6" s="39">
        <v>281421906</v>
      </c>
      <c r="C6" s="39">
        <v>281421906</v>
      </c>
      <c r="D6" s="39">
        <v>281421906</v>
      </c>
      <c r="E6" s="1">
        <v>308745538</v>
      </c>
      <c r="F6" s="1">
        <v>308745538</v>
      </c>
      <c r="G6" s="1">
        <v>308745538</v>
      </c>
      <c r="H6" s="1">
        <v>308745538</v>
      </c>
      <c r="I6" s="1">
        <v>308745538</v>
      </c>
      <c r="J6" s="1">
        <v>308745538</v>
      </c>
      <c r="K6" s="1">
        <v>308745538</v>
      </c>
      <c r="L6" s="1">
        <v>308745538</v>
      </c>
      <c r="M6" s="1">
        <v>308745538</v>
      </c>
      <c r="N6" s="1">
        <v>308745538</v>
      </c>
      <c r="O6" s="1">
        <v>331449281</v>
      </c>
      <c r="P6" s="1">
        <v>331449281</v>
      </c>
      <c r="Q6" s="1">
        <v>331449281</v>
      </c>
      <c r="R6" s="1">
        <v>331449281</v>
      </c>
      <c r="S6" s="1">
        <v>331449281</v>
      </c>
      <c r="T6" s="1">
        <v>331449281</v>
      </c>
    </row>
    <row r="7" spans="1:21">
      <c r="A7" s="30">
        <f>A5/A6</f>
        <v>2.7600303439064902E-3</v>
      </c>
      <c r="B7" s="30">
        <f>B5/B6</f>
        <v>2.7600303439064902E-3</v>
      </c>
      <c r="C7" s="30">
        <f t="shared" ref="C7:T7" si="3">C5/C6</f>
        <v>2.7600303439064902E-3</v>
      </c>
      <c r="D7" s="30">
        <f t="shared" si="3"/>
        <v>2.7600303439064902E-3</v>
      </c>
      <c r="E7" s="30">
        <f t="shared" si="3"/>
        <v>2.6080862745941936E-3</v>
      </c>
      <c r="F7" s="30">
        <f t="shared" si="3"/>
        <v>2.6080862745941936E-3</v>
      </c>
      <c r="G7" s="30">
        <f t="shared" si="3"/>
        <v>2.6080862745941936E-3</v>
      </c>
      <c r="H7" s="30">
        <f t="shared" si="3"/>
        <v>2.6080862745941936E-3</v>
      </c>
      <c r="I7" s="30">
        <f t="shared" si="3"/>
        <v>2.6080862745941936E-3</v>
      </c>
      <c r="J7" s="30">
        <f t="shared" si="3"/>
        <v>2.6080862745941936E-3</v>
      </c>
      <c r="K7" s="30">
        <f t="shared" si="3"/>
        <v>2.6080862745941936E-3</v>
      </c>
      <c r="L7" s="30">
        <f t="shared" si="3"/>
        <v>2.6080862745941936E-3</v>
      </c>
      <c r="M7" s="30">
        <f t="shared" si="3"/>
        <v>2.6080862745941936E-3</v>
      </c>
      <c r="N7" s="30">
        <f t="shared" si="3"/>
        <v>2.6080862745941936E-3</v>
      </c>
      <c r="O7" s="30">
        <f t="shared" si="3"/>
        <v>2.6367985996626738E-3</v>
      </c>
      <c r="P7" s="30">
        <f t="shared" si="3"/>
        <v>2.6367985996626738E-3</v>
      </c>
      <c r="Q7" s="30">
        <f t="shared" si="3"/>
        <v>2.6367985996626738E-3</v>
      </c>
      <c r="R7" s="30">
        <f t="shared" si="3"/>
        <v>2.6367985996626738E-3</v>
      </c>
      <c r="S7" s="30">
        <f t="shared" si="3"/>
        <v>2.6367985996626738E-3</v>
      </c>
      <c r="T7" s="30">
        <f t="shared" si="3"/>
        <v>2.6367985996626738E-3</v>
      </c>
      <c r="U7" s="30">
        <f>AVERAGE(A7:T7)</f>
        <v>2.6470887859771975E-3</v>
      </c>
    </row>
    <row r="8" spans="1:21">
      <c r="A8" t="s">
        <v>228</v>
      </c>
    </row>
    <row r="9" spans="1:21">
      <c r="A9" s="31">
        <v>1.7534489534731389E-3</v>
      </c>
    </row>
    <row r="18" spans="6:7">
      <c r="F18" s="32"/>
    </row>
    <row r="32" spans="6:7">
      <c r="G32" s="24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1048576"/>
    </sheetView>
  </sheetViews>
  <sheetFormatPr defaultRowHeight="15"/>
  <cols>
    <col min="1" max="1" width="14" customWidth="1"/>
    <col min="2" max="2" width="9.140625" bestFit="1" customWidth="1"/>
  </cols>
  <sheetData>
    <row r="1" spans="1:2">
      <c r="A1" t="s">
        <v>161</v>
      </c>
      <c r="B1" s="4">
        <f>SUMIF(Impressions!B2:B68,Totals!A1,Impressions!J2:J68)</f>
        <v>14403.505307710137</v>
      </c>
    </row>
    <row r="2" spans="1:2">
      <c r="A2" t="s">
        <v>230</v>
      </c>
      <c r="B2" s="4">
        <f>SUMIF(Impressions!B3:B69,Totals!A2,Impressions!J3:J69)</f>
        <v>1778597.7559520865</v>
      </c>
    </row>
    <row r="3" spans="1:2">
      <c r="A3" t="s">
        <v>231</v>
      </c>
      <c r="B3" s="4">
        <f>SUMIF(Impressions!B4:B70,Totals!A3,Impressions!J4:J70)</f>
        <v>10753.15736017414</v>
      </c>
    </row>
    <row r="4" spans="1:2">
      <c r="A4" t="s">
        <v>160</v>
      </c>
      <c r="B4" s="4">
        <f>SUMIF(Impressions!B5:B71,Totals!A4,Impressions!J5:J71)</f>
        <v>19144.187832377549</v>
      </c>
    </row>
    <row r="5" spans="1:2">
      <c r="A5" t="s">
        <v>162</v>
      </c>
      <c r="B5" s="4">
        <f>SUMIF(Impressions!B6:B72,Totals!A5,Impressions!J6:J72)</f>
        <v>440.90153951322668</v>
      </c>
    </row>
    <row r="6" spans="1:2">
      <c r="A6" t="s">
        <v>210</v>
      </c>
      <c r="B6">
        <f>SUM(B1:B5)</f>
        <v>1823339.5079918616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J18" sqref="J18"/>
    </sheetView>
  </sheetViews>
  <sheetFormatPr defaultRowHeight="15"/>
  <cols>
    <col min="1" max="1" width="17.7109375" customWidth="1"/>
    <col min="2" max="2" width="17.85546875" customWidth="1"/>
  </cols>
  <sheetData>
    <row r="1" spans="1:2">
      <c r="A1" t="s">
        <v>155</v>
      </c>
      <c r="B1" t="s">
        <v>156</v>
      </c>
    </row>
    <row r="2" spans="1:2">
      <c r="B2">
        <f>874961/328200000</f>
        <v>2.6659384521633151E-3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J3" sqref="J3"/>
    </sheetView>
  </sheetViews>
  <sheetFormatPr defaultRowHeight="15"/>
  <cols>
    <col min="1" max="1" width="34.7109375" bestFit="1" customWidth="1"/>
    <col min="2" max="2" width="11.7109375" bestFit="1" customWidth="1"/>
    <col min="6" max="6" width="15.85546875" customWidth="1"/>
    <col min="7" max="7" width="9.85546875" bestFit="1" customWidth="1"/>
    <col min="8" max="8" width="10.85546875" bestFit="1" customWidth="1"/>
    <col min="9" max="9" width="9.85546875" bestFit="1" customWidth="1"/>
    <col min="10" max="10" width="9.85546875" customWidth="1"/>
    <col min="11" max="11" width="24.5703125" bestFit="1" customWidth="1"/>
    <col min="12" max="12" width="23.7109375" bestFit="1" customWidth="1"/>
  </cols>
  <sheetData>
    <row r="1" spans="1:11">
      <c r="A1" t="s">
        <v>0</v>
      </c>
      <c r="B1" t="s">
        <v>1</v>
      </c>
      <c r="C1" t="s">
        <v>5</v>
      </c>
      <c r="D1" t="s">
        <v>2</v>
      </c>
      <c r="E1" t="s">
        <v>3</v>
      </c>
      <c r="F1" t="s">
        <v>4</v>
      </c>
      <c r="G1" t="s">
        <v>6</v>
      </c>
      <c r="H1" t="s">
        <v>173</v>
      </c>
      <c r="I1" t="s">
        <v>172</v>
      </c>
      <c r="K1" t="s">
        <v>232</v>
      </c>
    </row>
    <row r="2" spans="1:11">
      <c r="A2" t="s">
        <v>128</v>
      </c>
      <c r="B2" t="s">
        <v>161</v>
      </c>
      <c r="C2" t="s">
        <v>38</v>
      </c>
      <c r="D2" t="s">
        <v>129</v>
      </c>
      <c r="E2">
        <v>2001</v>
      </c>
      <c r="F2">
        <v>201</v>
      </c>
      <c r="G2">
        <v>1</v>
      </c>
      <c r="H2">
        <v>1</v>
      </c>
      <c r="I2">
        <v>0</v>
      </c>
      <c r="J2">
        <f>IF(I2=1,F2*G2*H2,IF(B2="Direct",F2*G2*H2*'Consumer Preference Profile'!$A$9,F2*G2*H2*INDEX('Consumer Preference Profile'!$A$7:$U$7,MATCH(E2,'Consumer Preference Profile'!$A$1:$U$1))))</f>
        <v>0.35244323964810093</v>
      </c>
      <c r="K2" t="s">
        <v>131</v>
      </c>
    </row>
    <row r="3" spans="1:11">
      <c r="A3" t="s">
        <v>80</v>
      </c>
      <c r="B3" t="s">
        <v>161</v>
      </c>
      <c r="C3" t="s">
        <v>60</v>
      </c>
      <c r="D3" t="s">
        <v>93</v>
      </c>
      <c r="E3">
        <v>2002</v>
      </c>
      <c r="F3" s="1">
        <v>24000</v>
      </c>
      <c r="G3">
        <v>1</v>
      </c>
      <c r="H3">
        <v>1</v>
      </c>
      <c r="I3">
        <v>0</v>
      </c>
      <c r="J3">
        <f>IF(I3=1,F3*G3*H3,IF(B3="Direct",F3*G3*H3*'Consumer Preference Profile'!$A$9,F3*G3*H3*INDEX('Consumer Preference Profile'!$A$7:$U$7,MATCH(E3,'Consumer Preference Profile'!$A$1:$U$1))))</f>
        <v>42.082774883355334</v>
      </c>
      <c r="K3" t="s">
        <v>81</v>
      </c>
    </row>
    <row r="4" spans="1:11">
      <c r="A4" t="s">
        <v>41</v>
      </c>
      <c r="B4" t="s">
        <v>161</v>
      </c>
      <c r="C4" t="s">
        <v>42</v>
      </c>
      <c r="D4" t="s">
        <v>93</v>
      </c>
      <c r="E4">
        <v>2002</v>
      </c>
      <c r="F4" s="1">
        <v>27000</v>
      </c>
      <c r="G4">
        <v>1</v>
      </c>
      <c r="H4">
        <v>1</v>
      </c>
      <c r="I4">
        <v>0</v>
      </c>
      <c r="J4">
        <f>IF(I4=1,F4*G4*H4,IF(B4="Direct",F4*G4*H4*'Consumer Preference Profile'!$A$9,F4*G4*H4*INDEX('Consumer Preference Profile'!$A$7:$U$7,MATCH(E4,'Consumer Preference Profile'!$A$1:$U$1))))</f>
        <v>47.343121743774752</v>
      </c>
      <c r="K4" t="s">
        <v>81</v>
      </c>
    </row>
    <row r="5" spans="1:11">
      <c r="A5" t="s">
        <v>134</v>
      </c>
      <c r="B5" t="s">
        <v>160</v>
      </c>
      <c r="C5" t="s">
        <v>134</v>
      </c>
      <c r="D5" t="s">
        <v>93</v>
      </c>
      <c r="E5">
        <v>2002</v>
      </c>
      <c r="F5" s="1">
        <f>600+2100+8500+22000+10000+1000+9000+14000</f>
        <v>67200</v>
      </c>
      <c r="G5">
        <v>1</v>
      </c>
      <c r="H5">
        <v>1</v>
      </c>
      <c r="I5">
        <v>0</v>
      </c>
      <c r="J5">
        <f>IF(I5=1,F5*G5*H5,IF(B5="Direct",F5*G5*H5*'Consumer Preference Profile'!$A$9,F5*G5*H5*INDEX('Consumer Preference Profile'!$A$7:$U$7,MATCH(E5,'Consumer Preference Profile'!$A$1:$U$1))))</f>
        <v>185.47403911051615</v>
      </c>
      <c r="K5" t="s">
        <v>81</v>
      </c>
    </row>
    <row r="6" spans="1:11">
      <c r="A6" t="s">
        <v>189</v>
      </c>
      <c r="B6" t="s">
        <v>160</v>
      </c>
      <c r="C6" t="s">
        <v>134</v>
      </c>
      <c r="D6" t="s">
        <v>93</v>
      </c>
      <c r="E6">
        <v>2003</v>
      </c>
      <c r="F6" s="1">
        <v>16000</v>
      </c>
      <c r="G6">
        <v>1</v>
      </c>
      <c r="H6">
        <v>1</v>
      </c>
      <c r="I6">
        <v>1</v>
      </c>
      <c r="J6">
        <f>IF(I6=1,F6*G6*H6,IF(B6="Direct",F6*G6*H6*'Consumer Preference Profile'!$A$9,F6*G6*H6*INDEX('Consumer Preference Profile'!$A$7:$U$7,MATCH(E6,'Consumer Preference Profile'!$A$1:$U$1))))</f>
        <v>16000</v>
      </c>
      <c r="K6" t="s">
        <v>186</v>
      </c>
    </row>
    <row r="7" spans="1:11">
      <c r="A7" t="s">
        <v>54</v>
      </c>
      <c r="B7" t="s">
        <v>160</v>
      </c>
      <c r="C7" t="s">
        <v>167</v>
      </c>
      <c r="D7" t="s">
        <v>55</v>
      </c>
      <c r="E7">
        <v>2003</v>
      </c>
      <c r="F7">
        <v>1</v>
      </c>
      <c r="G7">
        <v>1</v>
      </c>
      <c r="H7">
        <v>1</v>
      </c>
      <c r="I7">
        <v>1</v>
      </c>
      <c r="J7">
        <f>IF(I7=1,F7*G7*H7,IF(B7="Direct",F7*G7*H7*'Consumer Preference Profile'!$A$9,F7*G7*H7*INDEX('Consumer Preference Profile'!$A$7:$U$7,MATCH(E7,'Consumer Preference Profile'!$A$1:$U$1))))</f>
        <v>1</v>
      </c>
      <c r="K7" t="s">
        <v>56</v>
      </c>
    </row>
    <row r="8" spans="1:11">
      <c r="A8" t="s">
        <v>124</v>
      </c>
      <c r="B8" t="s">
        <v>160</v>
      </c>
      <c r="C8" t="s">
        <v>93</v>
      </c>
      <c r="D8" t="s">
        <v>50</v>
      </c>
      <c r="E8">
        <v>2003</v>
      </c>
      <c r="F8" s="1">
        <v>18000</v>
      </c>
      <c r="G8">
        <v>1</v>
      </c>
      <c r="H8">
        <v>1</v>
      </c>
      <c r="I8">
        <v>0</v>
      </c>
      <c r="J8">
        <f>IF(I8=1,F8*G8*H8,IF(B8="Direct",F8*G8*H8*'Consumer Preference Profile'!$A$9,F8*G8*H8*INDEX('Consumer Preference Profile'!$A$7:$U$7,MATCH(E8,'Consumer Preference Profile'!$A$1:$U$1))))</f>
        <v>49.680546190316825</v>
      </c>
      <c r="K8" t="s">
        <v>125</v>
      </c>
    </row>
    <row r="9" spans="1:11">
      <c r="A9" t="s">
        <v>124</v>
      </c>
      <c r="B9" t="s">
        <v>160</v>
      </c>
      <c r="C9" t="s">
        <v>93</v>
      </c>
      <c r="D9" t="s">
        <v>43</v>
      </c>
      <c r="E9">
        <v>2003</v>
      </c>
      <c r="F9">
        <v>180</v>
      </c>
      <c r="G9">
        <v>1</v>
      </c>
      <c r="H9">
        <v>1</v>
      </c>
      <c r="I9">
        <v>0</v>
      </c>
      <c r="J9">
        <f>IF(I9=1,F9*G9*H9,IF(B9="Direct",F9*G9*H9*'Consumer Preference Profile'!$A$9,F9*G9*H9*INDEX('Consumer Preference Profile'!$A$7:$U$7,MATCH(E9,'Consumer Preference Profile'!$A$1:$U$1))))</f>
        <v>0.49680546190316821</v>
      </c>
      <c r="K9" t="s">
        <v>125</v>
      </c>
    </row>
    <row r="10" spans="1:11">
      <c r="A10" t="s">
        <v>45</v>
      </c>
      <c r="B10" t="s">
        <v>160</v>
      </c>
      <c r="C10" t="s">
        <v>45</v>
      </c>
      <c r="D10" t="s">
        <v>43</v>
      </c>
      <c r="E10">
        <v>2004</v>
      </c>
      <c r="F10">
        <v>14</v>
      </c>
      <c r="G10">
        <v>1</v>
      </c>
      <c r="H10">
        <v>1</v>
      </c>
      <c r="I10">
        <v>1</v>
      </c>
      <c r="J10">
        <f>IF(I10=1,F10*G10*H10,IF(B10="Direct",F10*G10*H10*'Consumer Preference Profile'!$A$9,F10*G10*H10*INDEX('Consumer Preference Profile'!$A$7:$U$7,MATCH(E10,'Consumer Preference Profile'!$A$1:$U$1))))</f>
        <v>14</v>
      </c>
      <c r="K10" t="s">
        <v>46</v>
      </c>
    </row>
    <row r="11" spans="1:11">
      <c r="A11" t="s">
        <v>134</v>
      </c>
      <c r="B11" t="s">
        <v>160</v>
      </c>
      <c r="C11" t="s">
        <v>167</v>
      </c>
      <c r="D11" t="s">
        <v>43</v>
      </c>
      <c r="E11">
        <v>2004</v>
      </c>
      <c r="F11">
        <v>17</v>
      </c>
      <c r="G11">
        <v>1</v>
      </c>
      <c r="H11">
        <v>1</v>
      </c>
      <c r="I11">
        <v>0</v>
      </c>
      <c r="J11">
        <f>IF(I11=1,F11*G11*H11,IF(B11="Direct",F11*G11*H11*'Consumer Preference Profile'!$A$9,F11*G11*H11*INDEX('Consumer Preference Profile'!$A$7:$U$7,MATCH(E11,'Consumer Preference Profile'!$A$1:$U$1))))</f>
        <v>4.6920515846410334E-2</v>
      </c>
      <c r="K11" t="s">
        <v>135</v>
      </c>
    </row>
    <row r="12" spans="1:11">
      <c r="A12" t="s">
        <v>126</v>
      </c>
      <c r="B12" t="s">
        <v>160</v>
      </c>
      <c r="C12" t="s">
        <v>38</v>
      </c>
      <c r="D12" t="s">
        <v>43</v>
      </c>
      <c r="E12">
        <v>2005</v>
      </c>
      <c r="F12">
        <v>6</v>
      </c>
      <c r="G12">
        <v>1</v>
      </c>
      <c r="H12">
        <v>1</v>
      </c>
      <c r="I12">
        <v>0</v>
      </c>
      <c r="J12">
        <f>IF(I12=1,F12*G12*H12,IF(B12="Direct",F12*G12*H12*'Consumer Preference Profile'!$A$9,F12*G12*H12*INDEX('Consumer Preference Profile'!$A$7:$U$7,MATCH(E12,'Consumer Preference Profile'!$A$1:$U$1))))</f>
        <v>1.5648517647565162E-2</v>
      </c>
      <c r="K12" t="s">
        <v>127</v>
      </c>
    </row>
    <row r="13" spans="1:11">
      <c r="A13" t="s">
        <v>85</v>
      </c>
      <c r="B13" t="s">
        <v>162</v>
      </c>
      <c r="C13" t="s">
        <v>86</v>
      </c>
      <c r="D13" t="s">
        <v>43</v>
      </c>
      <c r="E13">
        <v>2006</v>
      </c>
      <c r="F13" s="4">
        <f>0.28*3405+0.17*6047+0.13*5845+0.09*6290</f>
        <v>3307.34</v>
      </c>
      <c r="G13">
        <v>1</v>
      </c>
      <c r="H13">
        <v>1</v>
      </c>
      <c r="I13">
        <v>0</v>
      </c>
      <c r="J13">
        <f>IF(I13=1,F13*G13*H13,IF(B13="Direct",F13*G13*H13*'Consumer Preference Profile'!$A$9,F13*G13*H13*INDEX('Consumer Preference Profile'!$A$7:$U$7,MATCH(E13,'Consumer Preference Profile'!$A$1:$U$1))))</f>
        <v>8.6258280594163601</v>
      </c>
      <c r="K13" t="s">
        <v>89</v>
      </c>
    </row>
    <row r="14" spans="1:11">
      <c r="A14" t="s">
        <v>37</v>
      </c>
      <c r="B14" t="s">
        <v>160</v>
      </c>
      <c r="C14" t="s">
        <v>169</v>
      </c>
      <c r="D14" t="s">
        <v>39</v>
      </c>
      <c r="E14">
        <v>2006</v>
      </c>
      <c r="F14" s="6">
        <v>15</v>
      </c>
      <c r="G14">
        <v>1</v>
      </c>
      <c r="H14">
        <v>1</v>
      </c>
      <c r="I14">
        <v>1</v>
      </c>
      <c r="J14">
        <f>IF(I14=1,F14*G14*H14,IF(B14="Direct",F14*G14*H14*'Consumer Preference Profile'!$A$9,F14*G14*H14*INDEX('Consumer Preference Profile'!$A$7:$U$7,MATCH(E14,'Consumer Preference Profile'!$A$1:$U$1))))</f>
        <v>15</v>
      </c>
      <c r="K14" t="s">
        <v>44</v>
      </c>
    </row>
    <row r="15" spans="1:11">
      <c r="A15" t="s">
        <v>37</v>
      </c>
      <c r="B15" t="s">
        <v>160</v>
      </c>
      <c r="C15" t="s">
        <v>169</v>
      </c>
      <c r="D15" t="s">
        <v>39</v>
      </c>
      <c r="E15">
        <v>2006</v>
      </c>
      <c r="F15" s="7">
        <v>121</v>
      </c>
      <c r="G15">
        <v>1</v>
      </c>
      <c r="H15">
        <v>1</v>
      </c>
      <c r="I15">
        <v>1</v>
      </c>
      <c r="J15">
        <f>IF(I15=1,F15*G15*H15,IF(B15="Direct",F15*G15*H15*'Consumer Preference Profile'!$A$9,F15*G15*H15*INDEX('Consumer Preference Profile'!$A$7:$U$7,MATCH(E15,'Consumer Preference Profile'!$A$1:$U$1))))</f>
        <v>121</v>
      </c>
      <c r="K15" t="s">
        <v>44</v>
      </c>
    </row>
    <row r="16" spans="1:11">
      <c r="A16" t="s">
        <v>49</v>
      </c>
      <c r="B16" t="s">
        <v>160</v>
      </c>
      <c r="C16" t="s">
        <v>93</v>
      </c>
      <c r="D16" t="s">
        <v>50</v>
      </c>
      <c r="E16">
        <v>2006</v>
      </c>
      <c r="F16" s="1">
        <v>17000</v>
      </c>
      <c r="G16">
        <v>1</v>
      </c>
      <c r="H16">
        <v>1</v>
      </c>
      <c r="I16">
        <v>0</v>
      </c>
      <c r="J16">
        <f>IF(I16=1,F16*G16*H16,IF(B16="Direct",F16*G16*H16*'Consumer Preference Profile'!$A$9,F16*G16*H16*INDEX('Consumer Preference Profile'!$A$7:$U$7,MATCH(E16,'Consumer Preference Profile'!$A$1:$U$1))))</f>
        <v>44.337466668101293</v>
      </c>
      <c r="K16" t="s">
        <v>51</v>
      </c>
    </row>
    <row r="17" spans="1:11">
      <c r="A17" t="s">
        <v>52</v>
      </c>
      <c r="B17" t="s">
        <v>160</v>
      </c>
      <c r="C17" t="s">
        <v>169</v>
      </c>
      <c r="D17" t="s">
        <v>53</v>
      </c>
      <c r="E17">
        <v>2006</v>
      </c>
      <c r="F17">
        <v>200</v>
      </c>
      <c r="G17">
        <v>1</v>
      </c>
      <c r="H17">
        <v>1</v>
      </c>
      <c r="I17">
        <v>0</v>
      </c>
      <c r="J17">
        <f>IF(I17=1,F17*G17*H17,IF(B17="Direct",F17*G17*H17*'Consumer Preference Profile'!$A$9,F17*G17*H17*INDEX('Consumer Preference Profile'!$A$7:$U$7,MATCH(E17,'Consumer Preference Profile'!$A$1:$U$1))))</f>
        <v>0.5216172549188387</v>
      </c>
      <c r="K17" t="s">
        <v>51</v>
      </c>
    </row>
    <row r="18" spans="1:11">
      <c r="A18" t="s">
        <v>76</v>
      </c>
      <c r="B18" t="s">
        <v>160</v>
      </c>
      <c r="C18" t="s">
        <v>93</v>
      </c>
      <c r="D18" t="s">
        <v>93</v>
      </c>
      <c r="E18">
        <v>2006</v>
      </c>
      <c r="F18">
        <v>24</v>
      </c>
      <c r="G18">
        <v>1</v>
      </c>
      <c r="H18">
        <v>1</v>
      </c>
      <c r="I18">
        <v>1</v>
      </c>
      <c r="J18">
        <f>IF(I18=1,F18*G18*H18,IF(B18="Direct",F18*G18*H18*'Consumer Preference Profile'!$A$9,F18*G18*H18*INDEX('Consumer Preference Profile'!$A$7:$U$7,MATCH(E18,'Consumer Preference Profile'!$A$1:$U$1))))</f>
        <v>24</v>
      </c>
      <c r="K18" t="s">
        <v>77</v>
      </c>
    </row>
    <row r="19" spans="1:11">
      <c r="A19" t="s">
        <v>78</v>
      </c>
      <c r="B19" t="s">
        <v>160</v>
      </c>
      <c r="C19" t="s">
        <v>93</v>
      </c>
      <c r="D19" t="s">
        <v>93</v>
      </c>
      <c r="E19">
        <v>2006</v>
      </c>
      <c r="F19">
        <f>900+285+150</f>
        <v>1335</v>
      </c>
      <c r="G19">
        <v>1</v>
      </c>
      <c r="H19">
        <v>1</v>
      </c>
      <c r="I19">
        <v>0</v>
      </c>
      <c r="J19">
        <f>IF(I19=1,F19*G19*H19,IF(B19="Direct",F19*G19*H19*'Consumer Preference Profile'!$A$9,F19*G19*H19*INDEX('Consumer Preference Profile'!$A$7:$U$7,MATCH(E19,'Consumer Preference Profile'!$A$1:$U$1))))</f>
        <v>3.4817951765832484</v>
      </c>
      <c r="K19" t="s">
        <v>79</v>
      </c>
    </row>
    <row r="20" spans="1:11">
      <c r="A20" t="s">
        <v>90</v>
      </c>
      <c r="B20" t="s">
        <v>161</v>
      </c>
      <c r="C20" t="s">
        <v>38</v>
      </c>
      <c r="D20" t="s">
        <v>93</v>
      </c>
      <c r="E20">
        <v>2006</v>
      </c>
      <c r="F20" s="1">
        <v>118</v>
      </c>
      <c r="G20">
        <v>1</v>
      </c>
      <c r="H20">
        <v>1</v>
      </c>
      <c r="I20">
        <v>1</v>
      </c>
      <c r="J20">
        <f>IF(I20=1,F20*G20*H20,IF(B20="Direct",F20*G20*H20*'Consumer Preference Profile'!$A$9,F20*G20*H20*INDEX('Consumer Preference Profile'!$A$7:$U$7,MATCH(E20,'Consumer Preference Profile'!$A$1:$U$1))))</f>
        <v>118</v>
      </c>
      <c r="K20" t="s">
        <v>95</v>
      </c>
    </row>
    <row r="21" spans="1:11">
      <c r="A21" t="s">
        <v>97</v>
      </c>
      <c r="B21" t="s">
        <v>161</v>
      </c>
      <c r="C21" t="s">
        <v>112</v>
      </c>
      <c r="D21" t="s">
        <v>93</v>
      </c>
      <c r="E21">
        <v>2006</v>
      </c>
      <c r="F21" s="1">
        <v>5500</v>
      </c>
      <c r="G21">
        <v>1</v>
      </c>
      <c r="H21">
        <v>1</v>
      </c>
      <c r="I21">
        <v>0</v>
      </c>
      <c r="J21">
        <f>IF(I21=1,F21*G21*H21,IF(B21="Direct",F21*G21*H21*'Consumer Preference Profile'!$A$9,F21*G21*H21*INDEX('Consumer Preference Profile'!$A$7:$U$7,MATCH(E21,'Consumer Preference Profile'!$A$1:$U$1))))</f>
        <v>9.643969244102264</v>
      </c>
      <c r="K21" t="s">
        <v>98</v>
      </c>
    </row>
    <row r="22" spans="1:11">
      <c r="A22" t="s">
        <v>99</v>
      </c>
      <c r="B22" t="s">
        <v>161</v>
      </c>
      <c r="C22" t="s">
        <v>38</v>
      </c>
      <c r="D22" t="s">
        <v>53</v>
      </c>
      <c r="E22">
        <v>2006</v>
      </c>
      <c r="F22" s="1">
        <v>88</v>
      </c>
      <c r="G22">
        <v>1</v>
      </c>
      <c r="H22">
        <v>1</v>
      </c>
      <c r="I22">
        <v>0</v>
      </c>
      <c r="J22">
        <f>IF(I22=1,F22*G22*H22,IF(B22="Direct",F22*G22*H22*'Consumer Preference Profile'!$A$9,F22*G22*H22*INDEX('Consumer Preference Profile'!$A$7:$U$7,MATCH(E22,'Consumer Preference Profile'!$A$1:$U$1))))</f>
        <v>0.15430350790563621</v>
      </c>
      <c r="K22" t="s">
        <v>98</v>
      </c>
    </row>
    <row r="23" spans="1:11">
      <c r="A23" t="s">
        <v>100</v>
      </c>
      <c r="B23" t="s">
        <v>161</v>
      </c>
      <c r="C23" t="s">
        <v>38</v>
      </c>
      <c r="D23" t="s">
        <v>53</v>
      </c>
      <c r="E23">
        <v>2006</v>
      </c>
      <c r="F23" s="1">
        <v>47</v>
      </c>
      <c r="G23">
        <v>1</v>
      </c>
      <c r="H23">
        <v>1</v>
      </c>
      <c r="I23">
        <v>0</v>
      </c>
      <c r="J23">
        <f>IF(I23=1,F23*G23*H23,IF(B23="Direct",F23*G23*H23*'Consumer Preference Profile'!$A$9,F23*G23*H23*INDEX('Consumer Preference Profile'!$A$7:$U$7,MATCH(E23,'Consumer Preference Profile'!$A$1:$U$1))))</f>
        <v>8.2412100813237521E-2</v>
      </c>
      <c r="K23" t="s">
        <v>98</v>
      </c>
    </row>
    <row r="24" spans="1:11">
      <c r="A24" t="s">
        <v>90</v>
      </c>
      <c r="B24" t="s">
        <v>161</v>
      </c>
      <c r="C24" t="s">
        <v>38</v>
      </c>
      <c r="D24" t="s">
        <v>43</v>
      </c>
      <c r="E24">
        <v>2006</v>
      </c>
      <c r="F24">
        <f>589+8881+7665+5350</f>
        <v>22485</v>
      </c>
      <c r="G24">
        <v>1</v>
      </c>
      <c r="H24">
        <v>1</v>
      </c>
      <c r="I24">
        <v>0</v>
      </c>
      <c r="J24">
        <f>IF(I24=1,F24*G24*H24,IF(B24="Direct",F24*G24*H24*'Consumer Preference Profile'!$A$9,F24*G24*H24*INDEX('Consumer Preference Profile'!$A$7:$U$7,MATCH(E24,'Consumer Preference Profile'!$A$1:$U$1))))</f>
        <v>39.426299718843531</v>
      </c>
      <c r="K24" t="s">
        <v>109</v>
      </c>
    </row>
    <row r="25" spans="1:11" ht="60">
      <c r="A25" t="s">
        <v>123</v>
      </c>
      <c r="B25" t="s">
        <v>161</v>
      </c>
      <c r="C25" t="s">
        <v>165</v>
      </c>
      <c r="D25" t="s">
        <v>93</v>
      </c>
      <c r="E25">
        <v>2006</v>
      </c>
      <c r="F25" s="1">
        <v>7424243</v>
      </c>
      <c r="G25">
        <v>1</v>
      </c>
      <c r="H25">
        <v>1</v>
      </c>
      <c r="I25">
        <v>0</v>
      </c>
      <c r="J25">
        <f>IF(I25=1,F25*G25*H25,IF(B25="Direct",F25*G25*H25*'Consumer Preference Profile'!$A$9,F25*G25*H25*INDEX('Consumer Preference Profile'!$A$7:$U$7,MATCH(E25,'Consumer Preference Profile'!$A$1:$U$1))))</f>
        <v>13018.031118680277</v>
      </c>
      <c r="K25" s="8" t="s">
        <v>171</v>
      </c>
    </row>
    <row r="26" spans="1:11">
      <c r="A26" t="s">
        <v>108</v>
      </c>
      <c r="B26" t="s">
        <v>38</v>
      </c>
      <c r="C26" t="s">
        <v>93</v>
      </c>
      <c r="D26" t="s">
        <v>43</v>
      </c>
      <c r="E26">
        <v>2007</v>
      </c>
      <c r="F26" s="1">
        <v>17934</v>
      </c>
      <c r="G26">
        <v>1</v>
      </c>
      <c r="H26">
        <v>1</v>
      </c>
      <c r="I26">
        <v>0</v>
      </c>
      <c r="J26">
        <f>IF(I26=1,F26*G26*H26,IF(B26="Direct",F26*G26*H26*'Consumer Preference Profile'!$A$9,F26*G26*H26*INDEX('Consumer Preference Profile'!$A$7:$U$7,MATCH(E26,'Consumer Preference Profile'!$A$1:$U$1))))</f>
        <v>46.773419248572267</v>
      </c>
      <c r="K26" t="s">
        <v>109</v>
      </c>
    </row>
    <row r="27" spans="1:11">
      <c r="A27" t="s">
        <v>90</v>
      </c>
      <c r="B27" t="s">
        <v>161</v>
      </c>
      <c r="C27" t="s">
        <v>38</v>
      </c>
      <c r="D27" t="s">
        <v>43</v>
      </c>
      <c r="E27">
        <v>2007</v>
      </c>
      <c r="F27">
        <f>8079+5740+7980+7033+7292+6019+4900+5633+5144+4722+2410+1601+1605+642</f>
        <v>68800</v>
      </c>
      <c r="G27">
        <v>1</v>
      </c>
      <c r="H27">
        <v>1</v>
      </c>
      <c r="I27">
        <v>0</v>
      </c>
      <c r="J27">
        <f>IF(I27=1,F27*G27*H27,IF(B27="Direct",F27*G27*H27*'Consumer Preference Profile'!$A$9,F27*G27*H27*INDEX('Consumer Preference Profile'!$A$7:$U$7,MATCH(E27,'Consumer Preference Profile'!$A$1:$U$1))))</f>
        <v>120.63728799895196</v>
      </c>
      <c r="K27" t="s">
        <v>109</v>
      </c>
    </row>
    <row r="28" spans="1:11">
      <c r="A28" t="s">
        <v>110</v>
      </c>
      <c r="B28" t="s">
        <v>161</v>
      </c>
      <c r="C28" t="s">
        <v>165</v>
      </c>
      <c r="D28" t="s">
        <v>43</v>
      </c>
      <c r="E28">
        <v>2007</v>
      </c>
      <c r="F28">
        <v>3616</v>
      </c>
      <c r="G28">
        <v>1</v>
      </c>
      <c r="H28">
        <v>0.51</v>
      </c>
      <c r="I28">
        <v>0</v>
      </c>
      <c r="J28">
        <f>IF(I28=1,F28*G28*H28,IF(B28="Direct",F28*G28*H28*'Consumer Preference Profile'!$A$9,F28*G28*H28*INDEX('Consumer Preference Profile'!$A$7:$U$7,MATCH(E28,'Consumer Preference Profile'!$A$1:$U$1))))</f>
        <v>3.2336404220370238</v>
      </c>
      <c r="K28" t="s">
        <v>109</v>
      </c>
    </row>
    <row r="29" spans="1:11">
      <c r="A29" t="s">
        <v>111</v>
      </c>
      <c r="B29" t="s">
        <v>161</v>
      </c>
      <c r="C29" t="s">
        <v>112</v>
      </c>
      <c r="D29" t="s">
        <v>43</v>
      </c>
      <c r="E29">
        <v>2007</v>
      </c>
      <c r="F29">
        <f>56990+42837</f>
        <v>99827</v>
      </c>
      <c r="G29">
        <v>1</v>
      </c>
      <c r="H29">
        <v>1</v>
      </c>
      <c r="I29">
        <v>0</v>
      </c>
      <c r="J29">
        <f>IF(I29=1,F29*G29*H29,IF(B29="Direct",F29*G29*H29*'Consumer Preference Profile'!$A$9,F29*G29*H29*INDEX('Consumer Preference Profile'!$A$7:$U$7,MATCH(E29,'Consumer Preference Profile'!$A$1:$U$1))))</f>
        <v>175.04154867836303</v>
      </c>
      <c r="K29" t="s">
        <v>109</v>
      </c>
    </row>
    <row r="30" spans="1:11">
      <c r="A30" t="s">
        <v>113</v>
      </c>
      <c r="B30" t="s">
        <v>162</v>
      </c>
      <c r="C30" t="s">
        <v>114</v>
      </c>
      <c r="D30" t="s">
        <v>43</v>
      </c>
      <c r="E30">
        <v>2007</v>
      </c>
      <c r="F30">
        <v>904</v>
      </c>
      <c r="G30">
        <v>1</v>
      </c>
      <c r="H30">
        <v>1</v>
      </c>
      <c r="I30">
        <v>0</v>
      </c>
      <c r="J30">
        <f>IF(I30=1,F30*G30*H30,IF(B30="Direct",F30*G30*H30*'Consumer Preference Profile'!$A$9,F30*G30*H30*INDEX('Consumer Preference Profile'!$A$7:$U$7,MATCH(E30,'Consumer Preference Profile'!$A$1:$U$1))))</f>
        <v>2.357709992233151</v>
      </c>
      <c r="K30" t="s">
        <v>109</v>
      </c>
    </row>
    <row r="31" spans="1:11">
      <c r="A31" t="s">
        <v>115</v>
      </c>
      <c r="B31" t="s">
        <v>162</v>
      </c>
      <c r="C31" t="s">
        <v>114</v>
      </c>
      <c r="D31" t="s">
        <v>43</v>
      </c>
      <c r="E31">
        <v>2007</v>
      </c>
      <c r="F31">
        <v>356</v>
      </c>
      <c r="G31">
        <v>1</v>
      </c>
      <c r="H31">
        <v>1</v>
      </c>
      <c r="I31">
        <v>0</v>
      </c>
      <c r="J31">
        <f>IF(I31=1,F31*G31*H31,IF(B31="Direct",F31*G31*H31*'Consumer Preference Profile'!$A$9,F31*G31*H31*INDEX('Consumer Preference Profile'!$A$7:$U$7,MATCH(E31,'Consumer Preference Profile'!$A$1:$U$1))))</f>
        <v>0.92847871375553293</v>
      </c>
      <c r="K31" t="s">
        <v>109</v>
      </c>
    </row>
    <row r="32" spans="1:11">
      <c r="A32" t="s">
        <v>116</v>
      </c>
      <c r="B32" t="s">
        <v>161</v>
      </c>
      <c r="C32" t="s">
        <v>165</v>
      </c>
      <c r="D32" t="s">
        <v>43</v>
      </c>
      <c r="E32">
        <v>2007</v>
      </c>
      <c r="F32">
        <v>7470</v>
      </c>
      <c r="G32">
        <v>1</v>
      </c>
      <c r="H32">
        <v>0.51</v>
      </c>
      <c r="I32">
        <v>0</v>
      </c>
      <c r="J32">
        <f>IF(I32=1,F32*G32*H32,IF(B32="Direct",F32*G32*H32*'Consumer Preference Profile'!$A$9,F32*G32*H32*INDEX('Consumer Preference Profile'!$A$7:$U$7,MATCH(E32,'Consumer Preference Profile'!$A$1:$U$1))))</f>
        <v>6.680114478046618</v>
      </c>
      <c r="K32" t="s">
        <v>109</v>
      </c>
    </row>
    <row r="33" spans="1:11">
      <c r="A33" t="s">
        <v>149</v>
      </c>
      <c r="B33" t="s">
        <v>161</v>
      </c>
      <c r="C33" t="s">
        <v>42</v>
      </c>
      <c r="D33" t="s">
        <v>43</v>
      </c>
      <c r="E33">
        <v>2007</v>
      </c>
      <c r="F33">
        <f>4.4*16463+5.2*6771</f>
        <v>107646.40000000002</v>
      </c>
      <c r="G33">
        <v>1</v>
      </c>
      <c r="H33">
        <v>1</v>
      </c>
      <c r="I33">
        <v>0</v>
      </c>
      <c r="J33">
        <f>IF(I33=1,F33*G33*H33,IF(B33="Direct",F33*G33*H33*'Consumer Preference Profile'!$A$9,F33*G33*H33*INDEX('Consumer Preference Profile'!$A$7:$U$7,MATCH(E33,'Consumer Preference Profile'!$A$1:$U$1))))</f>
        <v>188.75246742515094</v>
      </c>
      <c r="K33" t="s">
        <v>151</v>
      </c>
    </row>
    <row r="34" spans="1:11">
      <c r="A34" t="s">
        <v>150</v>
      </c>
      <c r="B34" t="s">
        <v>166</v>
      </c>
      <c r="C34" t="s">
        <v>117</v>
      </c>
      <c r="D34" t="s">
        <v>93</v>
      </c>
      <c r="E34">
        <v>2007</v>
      </c>
      <c r="F34" s="1">
        <v>44000000</v>
      </c>
      <c r="G34">
        <v>1</v>
      </c>
      <c r="H34">
        <v>1</v>
      </c>
      <c r="I34">
        <v>0</v>
      </c>
      <c r="J34">
        <f>IF(I34=1,F34*G34*H34,IF(B34="Direct",F34*G34*H34*'Consumer Preference Profile'!$A$9,F34*G34*H34*INDEX('Consumer Preference Profile'!$A$7:$U$7,MATCH(E34,'Consumer Preference Profile'!$A$1:$U$1))))</f>
        <v>114755.79608214452</v>
      </c>
      <c r="K34" t="s">
        <v>151</v>
      </c>
    </row>
    <row r="35" spans="1:11">
      <c r="A35" t="s">
        <v>92</v>
      </c>
      <c r="B35" t="s">
        <v>160</v>
      </c>
      <c r="C35" t="s">
        <v>60</v>
      </c>
      <c r="D35" t="s">
        <v>93</v>
      </c>
      <c r="E35">
        <v>2009</v>
      </c>
      <c r="F35">
        <f>30+225+75+200+20000+45000+45000+45000+300</f>
        <v>155830</v>
      </c>
      <c r="G35">
        <v>1</v>
      </c>
      <c r="H35">
        <v>1</v>
      </c>
      <c r="I35">
        <v>0</v>
      </c>
      <c r="J35">
        <f>IF(I35=1,F35*G35*H35,IF(B35="Direct",F35*G35*H35*'Consumer Preference Profile'!$A$9,F35*G35*H35*INDEX('Consumer Preference Profile'!$A$7:$U$7,MATCH(E35,'Consumer Preference Profile'!$A$1:$U$1))))</f>
        <v>406.41808417001317</v>
      </c>
      <c r="K35" t="s">
        <v>96</v>
      </c>
    </row>
    <row r="36" spans="1:11" ht="15.75">
      <c r="A36" t="s">
        <v>41</v>
      </c>
      <c r="B36" t="s">
        <v>161</v>
      </c>
      <c r="C36" t="s">
        <v>42</v>
      </c>
      <c r="D36" t="s">
        <v>43</v>
      </c>
      <c r="E36">
        <v>2010</v>
      </c>
      <c r="F36" s="3">
        <v>13000</v>
      </c>
      <c r="G36">
        <v>1</v>
      </c>
      <c r="H36">
        <v>1</v>
      </c>
      <c r="I36">
        <v>0</v>
      </c>
      <c r="J36">
        <f>IF(I36=1,F36*G36*H36,IF(B36="Direct",F36*G36*H36*'Consumer Preference Profile'!$A$9,F36*G36*H36*INDEX('Consumer Preference Profile'!$A$7:$U$7,MATCH(E36,'Consumer Preference Profile'!$A$1:$U$1))))</f>
        <v>22.794836395150806</v>
      </c>
      <c r="K36" t="s">
        <v>82</v>
      </c>
    </row>
    <row r="37" spans="1:11">
      <c r="A37" t="s">
        <v>83</v>
      </c>
      <c r="B37" t="s">
        <v>161</v>
      </c>
      <c r="C37" t="s">
        <v>60</v>
      </c>
      <c r="D37" t="s">
        <v>93</v>
      </c>
      <c r="E37">
        <v>2010</v>
      </c>
      <c r="F37" s="1">
        <v>8451</v>
      </c>
      <c r="G37">
        <v>1</v>
      </c>
      <c r="H37">
        <v>1</v>
      </c>
      <c r="I37">
        <v>0</v>
      </c>
      <c r="J37">
        <f>IF(I37=1,F37*G37*H37,IF(B37="Direct",F37*G37*H37*'Consumer Preference Profile'!$A$9,F37*G37*H37*INDEX('Consumer Preference Profile'!$A$7:$U$7,MATCH(E37,'Consumer Preference Profile'!$A$1:$U$1))))</f>
        <v>14.818397105801496</v>
      </c>
      <c r="K37" t="s">
        <v>87</v>
      </c>
    </row>
    <row r="38" spans="1:11">
      <c r="A38" t="s">
        <v>84</v>
      </c>
      <c r="B38" t="s">
        <v>161</v>
      </c>
      <c r="C38" t="s">
        <v>42</v>
      </c>
      <c r="D38" t="s">
        <v>93</v>
      </c>
      <c r="E38">
        <v>2010</v>
      </c>
      <c r="F38" s="1">
        <v>9</v>
      </c>
      <c r="G38">
        <v>1</v>
      </c>
      <c r="H38">
        <v>1</v>
      </c>
      <c r="I38">
        <v>1</v>
      </c>
      <c r="J38">
        <f>IF(I38=1,F38*G38*H38,IF(B38="Direct",F38*G38*H38*'Consumer Preference Profile'!$A$9,F38*G38*H38*INDEX('Consumer Preference Profile'!$A$7:$U$7,MATCH(E38,'Consumer Preference Profile'!$A$1:$U$1))))</f>
        <v>9</v>
      </c>
      <c r="K38" t="s">
        <v>88</v>
      </c>
    </row>
    <row r="39" spans="1:11">
      <c r="A39" t="s">
        <v>106</v>
      </c>
      <c r="B39" t="s">
        <v>160</v>
      </c>
      <c r="C39" t="s">
        <v>167</v>
      </c>
      <c r="D39" t="s">
        <v>43</v>
      </c>
      <c r="E39">
        <v>2010</v>
      </c>
      <c r="F39">
        <f>17+130</f>
        <v>147</v>
      </c>
      <c r="G39">
        <v>1</v>
      </c>
      <c r="H39">
        <v>1</v>
      </c>
      <c r="I39">
        <v>0</v>
      </c>
      <c r="J39">
        <f>IF(I39=1,F39*G39*H39,IF(B39="Direct",F39*G39*H39*'Consumer Preference Profile'!$A$9,F39*G39*H39*INDEX('Consumer Preference Profile'!$A$7:$U$7,MATCH(E39,'Consumer Preference Profile'!$A$1:$U$1))))</f>
        <v>0.38338868236534646</v>
      </c>
      <c r="K39" t="s">
        <v>105</v>
      </c>
    </row>
    <row r="40" spans="1:11">
      <c r="A40" t="s">
        <v>74</v>
      </c>
      <c r="B40" t="s">
        <v>160</v>
      </c>
      <c r="C40" t="s">
        <v>45</v>
      </c>
      <c r="D40" t="s">
        <v>93</v>
      </c>
      <c r="E40">
        <v>2011</v>
      </c>
      <c r="F40">
        <v>5</v>
      </c>
      <c r="G40">
        <v>1</v>
      </c>
      <c r="H40">
        <v>1</v>
      </c>
      <c r="I40">
        <v>1</v>
      </c>
      <c r="J40">
        <f>IF(I40=1,F40*G40*H40,IF(B40="Direct",F40*G40*H40*'Consumer Preference Profile'!$A$9,F40*G40*H40*INDEX('Consumer Preference Profile'!$A$7:$U$7,MATCH(E40,'Consumer Preference Profile'!$A$1:$U$1))))</f>
        <v>5</v>
      </c>
      <c r="K40" t="s">
        <v>75</v>
      </c>
    </row>
    <row r="41" spans="1:11">
      <c r="A41" t="s">
        <v>101</v>
      </c>
      <c r="B41" t="s">
        <v>162</v>
      </c>
      <c r="C41" t="s">
        <v>168</v>
      </c>
      <c r="D41" t="s">
        <v>93</v>
      </c>
      <c r="E41">
        <v>2011</v>
      </c>
      <c r="F41" s="1">
        <v>14000</v>
      </c>
      <c r="G41">
        <v>1</v>
      </c>
      <c r="H41">
        <v>1</v>
      </c>
      <c r="I41">
        <v>0</v>
      </c>
      <c r="J41">
        <f>IF(I41=1,F41*G41*H41,IF(B41="Direct",F41*G41*H41*'Consumer Preference Profile'!$A$9,F41*G41*H41*INDEX('Consumer Preference Profile'!$A$7:$U$7,MATCH(E41,'Consumer Preference Profile'!$A$1:$U$1))))</f>
        <v>36.513207844318714</v>
      </c>
      <c r="K41" t="s">
        <v>103</v>
      </c>
    </row>
    <row r="42" spans="1:11">
      <c r="A42" t="s">
        <v>102</v>
      </c>
      <c r="B42" t="s">
        <v>161</v>
      </c>
      <c r="C42" t="s">
        <v>42</v>
      </c>
      <c r="D42" t="s">
        <v>43</v>
      </c>
      <c r="E42">
        <v>2011</v>
      </c>
      <c r="F42">
        <f>7853*2</f>
        <v>15706</v>
      </c>
      <c r="G42">
        <v>1</v>
      </c>
      <c r="H42">
        <v>1</v>
      </c>
      <c r="I42">
        <v>0</v>
      </c>
      <c r="J42">
        <f>IF(I42=1,F42*G42*H42,IF(B42="Direct",F42*G42*H42*'Consumer Preference Profile'!$A$9,F42*G42*H42*INDEX('Consumer Preference Profile'!$A$7:$U$7,MATCH(E42,'Consumer Preference Profile'!$A$1:$U$1))))</f>
        <v>27.53966926324912</v>
      </c>
      <c r="K42" t="s">
        <v>103</v>
      </c>
    </row>
    <row r="43" spans="1:11">
      <c r="A43" t="s">
        <v>104</v>
      </c>
      <c r="B43" t="s">
        <v>160</v>
      </c>
      <c r="C43" t="s">
        <v>60</v>
      </c>
      <c r="D43" t="s">
        <v>43</v>
      </c>
      <c r="E43">
        <v>2011</v>
      </c>
      <c r="F43" s="1">
        <v>690</v>
      </c>
      <c r="G43">
        <v>1</v>
      </c>
      <c r="H43">
        <v>1</v>
      </c>
      <c r="I43">
        <v>0</v>
      </c>
      <c r="J43">
        <f>IF(I43=1,F43*G43*H43,IF(B43="Direct",F43*G43*H43*'Consumer Preference Profile'!$A$9,F43*G43*H43*INDEX('Consumer Preference Profile'!$A$7:$U$7,MATCH(E43,'Consumer Preference Profile'!$A$1:$U$1))))</f>
        <v>1.7995795294699937</v>
      </c>
      <c r="K43" t="s">
        <v>105</v>
      </c>
    </row>
    <row r="44" spans="1:11">
      <c r="A44" t="s">
        <v>107</v>
      </c>
      <c r="B44" t="s">
        <v>160</v>
      </c>
      <c r="C44" t="s">
        <v>169</v>
      </c>
      <c r="D44" t="s">
        <v>43</v>
      </c>
      <c r="E44">
        <v>2011</v>
      </c>
      <c r="F44">
        <f>15*50</f>
        <v>750</v>
      </c>
      <c r="G44">
        <v>1</v>
      </c>
      <c r="H44">
        <v>1</v>
      </c>
      <c r="I44">
        <v>0</v>
      </c>
      <c r="J44">
        <f>IF(I44=1,F44*G44*H44,IF(B44="Direct",F44*G44*H44*'Consumer Preference Profile'!$A$9,F44*G44*H44*INDEX('Consumer Preference Profile'!$A$7:$U$7,MATCH(E44,'Consumer Preference Profile'!$A$1:$U$1))))</f>
        <v>1.9560647059456453</v>
      </c>
      <c r="K44" t="s">
        <v>105</v>
      </c>
    </row>
    <row r="45" spans="1:11">
      <c r="A45" t="s">
        <v>68</v>
      </c>
      <c r="B45" t="s">
        <v>160</v>
      </c>
      <c r="C45" t="s">
        <v>170</v>
      </c>
      <c r="D45" t="s">
        <v>93</v>
      </c>
      <c r="E45">
        <v>2012</v>
      </c>
      <c r="F45">
        <v>14</v>
      </c>
      <c r="G45">
        <v>1</v>
      </c>
      <c r="H45">
        <v>1</v>
      </c>
      <c r="I45">
        <v>1</v>
      </c>
      <c r="J45">
        <f>IF(I45=1,F45*G45*H45,IF(B45="Direct",F45*G45*H45*'Consumer Preference Profile'!$A$9,F45*G45*H45*INDEX('Consumer Preference Profile'!$A$7:$U$7,MATCH(E45,'Consumer Preference Profile'!$A$1:$U$1))))</f>
        <v>14</v>
      </c>
      <c r="K45" t="s">
        <v>69</v>
      </c>
    </row>
    <row r="46" spans="1:11">
      <c r="A46" t="s">
        <v>41</v>
      </c>
      <c r="B46" t="s">
        <v>161</v>
      </c>
      <c r="C46" t="s">
        <v>42</v>
      </c>
      <c r="D46" t="s">
        <v>43</v>
      </c>
      <c r="E46">
        <v>2012</v>
      </c>
      <c r="F46" s="1">
        <v>104000</v>
      </c>
      <c r="G46">
        <v>1</v>
      </c>
      <c r="H46">
        <v>1</v>
      </c>
      <c r="I46">
        <v>0</v>
      </c>
      <c r="J46">
        <f>IF(I46=1,F46*G46*H46,IF(B46="Direct",F46*G46*H46*'Consumer Preference Profile'!$A$9,F46*G46*H46*INDEX('Consumer Preference Profile'!$A$7:$U$7,MATCH(E46,'Consumer Preference Profile'!$A$1:$U$1))))</f>
        <v>182.35869116120645</v>
      </c>
      <c r="K46" t="s">
        <v>103</v>
      </c>
    </row>
    <row r="47" spans="1:11">
      <c r="A47" t="s">
        <v>141</v>
      </c>
      <c r="B47" t="s">
        <v>166</v>
      </c>
      <c r="C47" t="s">
        <v>133</v>
      </c>
      <c r="D47" t="s">
        <v>93</v>
      </c>
      <c r="E47">
        <v>2013</v>
      </c>
      <c r="F47" s="1">
        <v>80000</v>
      </c>
      <c r="G47">
        <v>44</v>
      </c>
      <c r="H47">
        <v>1</v>
      </c>
      <c r="I47">
        <v>0</v>
      </c>
      <c r="J47">
        <f>IF(I47=1,F47*G47*H47,IF(B47="Direct",F47*G47*H47*'Consumer Preference Profile'!$A$9,F47*G47*H47*INDEX('Consumer Preference Profile'!$A$7:$U$7,MATCH(E47,'Consumer Preference Profile'!$A$1:$U$1))))</f>
        <v>9180.463686571562</v>
      </c>
      <c r="K47" t="s">
        <v>152</v>
      </c>
    </row>
    <row r="48" spans="1:11">
      <c r="A48" t="s">
        <v>83</v>
      </c>
      <c r="B48" t="s">
        <v>161</v>
      </c>
      <c r="C48" t="s">
        <v>60</v>
      </c>
      <c r="D48" t="s">
        <v>93</v>
      </c>
      <c r="E48">
        <v>2013</v>
      </c>
      <c r="F48" s="1">
        <v>113000</v>
      </c>
      <c r="G48">
        <v>1</v>
      </c>
      <c r="H48">
        <v>1</v>
      </c>
      <c r="I48">
        <v>0</v>
      </c>
      <c r="J48">
        <f>IF(I48=1,F48*G48*H48,IF(B48="Direct",F48*G48*H48*'Consumer Preference Profile'!$A$9,F48*G48*H48*INDEX('Consumer Preference Profile'!$A$7:$U$7,MATCH(E48,'Consumer Preference Profile'!$A$1:$U$1))))</f>
        <v>198.1397317424647</v>
      </c>
      <c r="K48" t="s">
        <v>94</v>
      </c>
    </row>
    <row r="49" spans="1:11">
      <c r="A49" t="s">
        <v>59</v>
      </c>
      <c r="B49" t="s">
        <v>161</v>
      </c>
      <c r="C49" t="s">
        <v>60</v>
      </c>
      <c r="D49" t="s">
        <v>93</v>
      </c>
      <c r="E49">
        <v>2015</v>
      </c>
      <c r="F49">
        <v>8856</v>
      </c>
      <c r="G49">
        <v>1</v>
      </c>
      <c r="H49">
        <v>1</v>
      </c>
      <c r="I49">
        <v>0</v>
      </c>
      <c r="J49">
        <f>IF(I49=1,F49*G49*H49,IF(B49="Direct",F49*G49*H49*'Consumer Preference Profile'!$A$9,F49*G49*H49*INDEX('Consumer Preference Profile'!$A$7:$U$7,MATCH(E49,'Consumer Preference Profile'!$A$1:$U$1))))</f>
        <v>15.528543931958119</v>
      </c>
      <c r="K49" t="s">
        <v>61</v>
      </c>
    </row>
    <row r="50" spans="1:11">
      <c r="A50" t="s">
        <v>62</v>
      </c>
      <c r="B50" t="s">
        <v>160</v>
      </c>
      <c r="C50" t="s">
        <v>45</v>
      </c>
      <c r="D50" t="s">
        <v>93</v>
      </c>
      <c r="E50">
        <v>2015</v>
      </c>
      <c r="F50">
        <f>55+53+33</f>
        <v>141</v>
      </c>
      <c r="G50">
        <v>1</v>
      </c>
      <c r="H50">
        <v>1</v>
      </c>
      <c r="I50">
        <v>0</v>
      </c>
      <c r="J50">
        <f>IF(I50=1,F50*G50*H50,IF(B50="Direct",F50*G50*H50*'Consumer Preference Profile'!$A$9,F50*G50*H50*INDEX('Consumer Preference Profile'!$A$7:$U$7,MATCH(E50,'Consumer Preference Profile'!$A$1:$U$1))))</f>
        <v>0.37178860255243701</v>
      </c>
      <c r="K50" t="s">
        <v>61</v>
      </c>
    </row>
    <row r="51" spans="1:11">
      <c r="A51" t="s">
        <v>66</v>
      </c>
      <c r="B51" t="s">
        <v>161</v>
      </c>
      <c r="C51" t="s">
        <v>42</v>
      </c>
      <c r="D51" t="s">
        <v>93</v>
      </c>
      <c r="E51">
        <v>2015</v>
      </c>
      <c r="F51">
        <v>174</v>
      </c>
      <c r="G51">
        <v>1</v>
      </c>
      <c r="H51">
        <v>1</v>
      </c>
      <c r="I51">
        <v>0</v>
      </c>
      <c r="J51">
        <f>IF(I51=1,F51*G51*H51,IF(B51="Direct",F51*G51*H51*'Consumer Preference Profile'!$A$9,F51*G51*H51*INDEX('Consumer Preference Profile'!$A$7:$U$7,MATCH(E51,'Consumer Preference Profile'!$A$1:$U$1))))</f>
        <v>0.30510011790432617</v>
      </c>
      <c r="K51" t="s">
        <v>61</v>
      </c>
    </row>
    <row r="52" spans="1:11">
      <c r="A52" t="s">
        <v>63</v>
      </c>
      <c r="B52" t="s">
        <v>161</v>
      </c>
      <c r="C52" t="s">
        <v>165</v>
      </c>
      <c r="D52" t="s">
        <v>93</v>
      </c>
      <c r="E52">
        <v>2015</v>
      </c>
      <c r="F52" s="5">
        <v>47555</v>
      </c>
      <c r="G52">
        <v>1</v>
      </c>
      <c r="H52">
        <v>0.51</v>
      </c>
      <c r="I52">
        <v>0</v>
      </c>
      <c r="J52">
        <f>IF(I52=1,F52*G52*H52,IF(B52="Direct",F52*G52*H52*'Consumer Preference Profile'!$A$9,F52*G52*H52*INDEX('Consumer Preference Profile'!$A$7:$U$7,MATCH(E52,'Consumer Preference Profile'!$A$1:$U$1))))</f>
        <v>42.526485141031706</v>
      </c>
      <c r="K52" t="s">
        <v>61</v>
      </c>
    </row>
    <row r="53" spans="1:11">
      <c r="A53" t="s">
        <v>62</v>
      </c>
      <c r="B53" t="s">
        <v>160</v>
      </c>
      <c r="C53" t="s">
        <v>45</v>
      </c>
      <c r="D53" t="s">
        <v>93</v>
      </c>
      <c r="E53">
        <v>2015</v>
      </c>
      <c r="F53">
        <f>153</f>
        <v>153</v>
      </c>
      <c r="G53">
        <v>1</v>
      </c>
      <c r="H53">
        <v>1</v>
      </c>
      <c r="I53">
        <v>0</v>
      </c>
      <c r="J53">
        <f>IF(I53=1,F53*G53*H53,IF(B53="Direct",F53*G53*H53*'Consumer Preference Profile'!$A$9,F53*G53*H53*INDEX('Consumer Preference Profile'!$A$7:$U$7,MATCH(E53,'Consumer Preference Profile'!$A$1:$U$1))))</f>
        <v>0.40343018574838907</v>
      </c>
      <c r="K53" t="s">
        <v>65</v>
      </c>
    </row>
    <row r="54" spans="1:11">
      <c r="A54" t="s">
        <v>66</v>
      </c>
      <c r="B54" t="s">
        <v>161</v>
      </c>
      <c r="C54" t="s">
        <v>42</v>
      </c>
      <c r="D54" t="s">
        <v>93</v>
      </c>
      <c r="E54">
        <v>2015</v>
      </c>
      <c r="F54">
        <v>137</v>
      </c>
      <c r="G54">
        <v>1</v>
      </c>
      <c r="H54">
        <v>1</v>
      </c>
      <c r="I54">
        <v>0</v>
      </c>
      <c r="J54">
        <f>IF(I54=1,F54*G54*H54,IF(B54="Direct",F54*G54*H54*'Consumer Preference Profile'!$A$9,F54*G54*H54*INDEX('Consumer Preference Profile'!$A$7:$U$7,MATCH(E54,'Consumer Preference Profile'!$A$1:$U$1))))</f>
        <v>0.24022250662582004</v>
      </c>
      <c r="K54" t="s">
        <v>65</v>
      </c>
    </row>
    <row r="55" spans="1:11">
      <c r="A55" t="s">
        <v>66</v>
      </c>
      <c r="B55" t="s">
        <v>161</v>
      </c>
      <c r="C55" t="s">
        <v>42</v>
      </c>
      <c r="D55" t="s">
        <v>93</v>
      </c>
      <c r="E55">
        <v>2015</v>
      </c>
      <c r="F55">
        <v>94</v>
      </c>
      <c r="G55">
        <v>1</v>
      </c>
      <c r="H55">
        <v>1</v>
      </c>
      <c r="I55">
        <v>0</v>
      </c>
      <c r="J55">
        <f>IF(I55=1,F55*G55*H55,IF(B55="Direct",F55*G55*H55*'Consumer Preference Profile'!$A$9,F55*G55*H55*INDEX('Consumer Preference Profile'!$A$7:$U$7,MATCH(E55,'Consumer Preference Profile'!$A$1:$U$1))))</f>
        <v>0.16482420162647504</v>
      </c>
      <c r="K55" t="s">
        <v>67</v>
      </c>
    </row>
    <row r="56" spans="1:11">
      <c r="A56" t="s">
        <v>63</v>
      </c>
      <c r="B56" t="s">
        <v>161</v>
      </c>
      <c r="C56" t="s">
        <v>165</v>
      </c>
      <c r="D56" t="s">
        <v>93</v>
      </c>
      <c r="E56">
        <v>2015</v>
      </c>
      <c r="F56">
        <f>22911+29768+13464+1400+2758</f>
        <v>70301</v>
      </c>
      <c r="G56">
        <v>1</v>
      </c>
      <c r="H56">
        <v>0.51</v>
      </c>
      <c r="I56">
        <v>0</v>
      </c>
      <c r="J56">
        <f>IF(I56=1,F56*G56*H56,IF(B56="Direct",F56*G56*H56*'Consumer Preference Profile'!$A$9,F56*G56*H56*INDEX('Consumer Preference Profile'!$A$7:$U$7,MATCH(E56,'Consumer Preference Profile'!$A$1:$U$1))))</f>
        <v>62.867299587838723</v>
      </c>
      <c r="K56" t="s">
        <v>67</v>
      </c>
    </row>
    <row r="57" spans="1:11">
      <c r="A57" t="s">
        <v>132</v>
      </c>
      <c r="B57" t="s">
        <v>166</v>
      </c>
      <c r="C57" t="s">
        <v>133</v>
      </c>
      <c r="D57" t="s">
        <v>93</v>
      </c>
      <c r="E57">
        <v>2015</v>
      </c>
      <c r="F57" s="1">
        <v>13000000</v>
      </c>
      <c r="G57">
        <v>44</v>
      </c>
      <c r="H57">
        <v>1</v>
      </c>
      <c r="I57">
        <v>0</v>
      </c>
      <c r="J57">
        <f>IF(I57=1,F57*G57*H57,IF(B57="Direct",F57*G57*H57*'Consumer Preference Profile'!$A$9,F57*G57*H57*INDEX('Consumer Preference Profile'!$A$7:$U$7,MATCH(E57,'Consumer Preference Profile'!$A$1:$U$1))))</f>
        <v>1508248.7990070493</v>
      </c>
      <c r="K57" t="s">
        <v>130</v>
      </c>
    </row>
    <row r="58" spans="1:11">
      <c r="A58" t="s">
        <v>71</v>
      </c>
      <c r="B58" t="s">
        <v>161</v>
      </c>
      <c r="C58" t="s">
        <v>38</v>
      </c>
      <c r="D58" t="s">
        <v>93</v>
      </c>
      <c r="E58">
        <v>2016</v>
      </c>
      <c r="F58">
        <f>1194+379</f>
        <v>1573</v>
      </c>
      <c r="G58">
        <v>1</v>
      </c>
      <c r="H58">
        <v>1</v>
      </c>
      <c r="I58">
        <v>0</v>
      </c>
      <c r="J58">
        <f>IF(I58=1,F58*G58*H58,IF(B58="Direct",F58*G58*H58*'Consumer Preference Profile'!$A$9,F58*G58*H58*INDEX('Consumer Preference Profile'!$A$7:$U$7,MATCH(E58,'Consumer Preference Profile'!$A$1:$U$1))))</f>
        <v>2.7581752038132477</v>
      </c>
      <c r="K58" t="s">
        <v>70</v>
      </c>
    </row>
    <row r="59" spans="1:11">
      <c r="A59" t="s">
        <v>63</v>
      </c>
      <c r="B59" t="s">
        <v>161</v>
      </c>
      <c r="C59" t="s">
        <v>165</v>
      </c>
      <c r="D59" t="s">
        <v>93</v>
      </c>
      <c r="E59">
        <v>2016</v>
      </c>
      <c r="F59">
        <f>1885+4504+2559</f>
        <v>8948</v>
      </c>
      <c r="G59">
        <v>1</v>
      </c>
      <c r="H59">
        <v>0.51</v>
      </c>
      <c r="I59">
        <v>0</v>
      </c>
      <c r="J59">
        <f>IF(I59=1,F59*G59*H59,IF(B59="Direct",F59*G59*H59*'Consumer Preference Profile'!$A$9,F59*G59*H59*INDEX('Consumer Preference Profile'!$A$7:$U$7,MATCH(E59,'Consumer Preference Profile'!$A$1:$U$1))))</f>
        <v>8.0018292301956002</v>
      </c>
      <c r="K59" t="s">
        <v>70</v>
      </c>
    </row>
    <row r="60" spans="1:11">
      <c r="A60" t="s">
        <v>41</v>
      </c>
      <c r="B60" t="s">
        <v>161</v>
      </c>
      <c r="C60" t="s">
        <v>42</v>
      </c>
      <c r="D60" t="s">
        <v>39</v>
      </c>
      <c r="E60">
        <v>2016</v>
      </c>
      <c r="F60" s="1">
        <v>47</v>
      </c>
      <c r="G60">
        <v>1</v>
      </c>
      <c r="H60">
        <v>1</v>
      </c>
      <c r="I60">
        <v>1</v>
      </c>
      <c r="J60">
        <f>IF(I60=1,F60*G60*H60,IF(B60="Direct",F60*G60*H60*'Consumer Preference Profile'!$A$9,F60*G60*H60*INDEX('Consumer Preference Profile'!$A$7:$U$7,MATCH(E60,'Consumer Preference Profile'!$A$1:$U$1))))</f>
        <v>47</v>
      </c>
      <c r="K60" t="s">
        <v>91</v>
      </c>
    </row>
    <row r="61" spans="1:11">
      <c r="A61" t="s">
        <v>47</v>
      </c>
      <c r="B61" t="s">
        <v>160</v>
      </c>
      <c r="C61" t="s">
        <v>45</v>
      </c>
      <c r="D61" t="s">
        <v>43</v>
      </c>
      <c r="E61" t="s">
        <v>227</v>
      </c>
      <c r="F61">
        <v>40</v>
      </c>
      <c r="G61">
        <v>1</v>
      </c>
      <c r="H61">
        <v>1</v>
      </c>
      <c r="I61">
        <v>1</v>
      </c>
      <c r="J61">
        <f>IF(I61=1,F61*G61*H61,IF(B61="Direct",F61*G61*H61*'Consumer Preference Profile'!$A$9,F61*G61*H61*INDEX('Consumer Preference Profile'!$A$7:$U$7,MATCH(E61,'Consumer Preference Profile'!$A$1:$U$1))))</f>
        <v>40</v>
      </c>
      <c r="K61" t="s">
        <v>48</v>
      </c>
    </row>
    <row r="62" spans="1:11">
      <c r="A62" t="s">
        <v>118</v>
      </c>
      <c r="B62" t="s">
        <v>160</v>
      </c>
      <c r="C62" t="s">
        <v>93</v>
      </c>
      <c r="D62" t="s">
        <v>43</v>
      </c>
      <c r="E62" t="s">
        <v>227</v>
      </c>
      <c r="F62">
        <f>1128+800083+35482</f>
        <v>836693</v>
      </c>
      <c r="G62">
        <v>1</v>
      </c>
      <c r="H62">
        <v>1</v>
      </c>
      <c r="I62">
        <v>0</v>
      </c>
      <c r="J62">
        <f>IF(I62=1,F62*G62*H62,IF(B62="Direct",F62*G62*H62*'Consumer Preference Profile'!$A$9,F62*G62*H62*INDEX('Consumer Preference Profile'!$A$7:$U$7,MATCH(E62,'Consumer Preference Profile'!$A$1:$U$1))))</f>
        <v>2214.8006576056191</v>
      </c>
      <c r="K62" t="s">
        <v>119</v>
      </c>
    </row>
    <row r="63" spans="1:11" ht="45">
      <c r="A63" t="s">
        <v>185</v>
      </c>
      <c r="B63" t="s">
        <v>163</v>
      </c>
      <c r="C63" t="s">
        <v>164</v>
      </c>
      <c r="D63" t="s">
        <v>93</v>
      </c>
      <c r="E63" t="s">
        <v>227</v>
      </c>
      <c r="F63" s="1">
        <v>200000</v>
      </c>
      <c r="G63">
        <v>17</v>
      </c>
      <c r="H63">
        <v>1</v>
      </c>
      <c r="I63">
        <v>0</v>
      </c>
      <c r="J63">
        <f>IF(I63=1,F63*G63*H63,IF(B63="Direct",F63*G63*H63*'Consumer Preference Profile'!$A$9,F63*G63*H63*INDEX('Consumer Preference Profile'!$A$7:$U$7,MATCH(E63,'Consumer Preference Profile'!$A$1:$U$1))))</f>
        <v>9000.1018723224715</v>
      </c>
      <c r="K63" s="8" t="s">
        <v>233</v>
      </c>
    </row>
    <row r="64" spans="1:11" ht="24">
      <c r="A64" t="s">
        <v>187</v>
      </c>
      <c r="B64" t="s">
        <v>162</v>
      </c>
      <c r="C64" t="s">
        <v>93</v>
      </c>
      <c r="D64" t="s">
        <v>93</v>
      </c>
      <c r="E64">
        <v>2003</v>
      </c>
      <c r="F64">
        <f>150</f>
        <v>150</v>
      </c>
      <c r="G64">
        <f>79*12</f>
        <v>948</v>
      </c>
      <c r="H64">
        <v>1</v>
      </c>
      <c r="I64">
        <v>0</v>
      </c>
      <c r="J64">
        <f>IF(I64=1,F64*G64*H64,IF(B64="Direct",F64*G64*H64*'Consumer Preference Profile'!$A$9,F64*G64*H64*INDEX('Consumer Preference Profile'!$A$7:$U$7,MATCH(E64,'Consumer Preference Profile'!$A$1:$U$1))))</f>
        <v>392.4763149035029</v>
      </c>
      <c r="K64" s="16" t="s">
        <v>190</v>
      </c>
    </row>
    <row r="65" spans="1:11">
      <c r="A65" t="s">
        <v>142</v>
      </c>
      <c r="B65" t="s">
        <v>163</v>
      </c>
      <c r="C65" t="s">
        <v>164</v>
      </c>
      <c r="D65" t="s">
        <v>93</v>
      </c>
      <c r="E65">
        <v>2015</v>
      </c>
      <c r="F65" s="1">
        <v>149580</v>
      </c>
      <c r="G65">
        <v>1</v>
      </c>
      <c r="H65">
        <v>1</v>
      </c>
      <c r="I65">
        <v>0</v>
      </c>
      <c r="J65">
        <f>IF(I65=1,F65*G65*H65,IF(B65="Direct",F65*G65*H65*'Consumer Preference Profile'!$A$9,F65*G65*H65*INDEX('Consumer Preference Profile'!$A$7:$U$7,MATCH(E65,'Consumer Preference Profile'!$A$1:$U$1))))</f>
        <v>394.41233453754273</v>
      </c>
      <c r="K65" t="s">
        <v>136</v>
      </c>
    </row>
    <row r="66" spans="1:11">
      <c r="A66" t="s">
        <v>229</v>
      </c>
      <c r="B66" t="s">
        <v>163</v>
      </c>
      <c r="C66" t="s">
        <v>164</v>
      </c>
      <c r="D66" t="s">
        <v>93</v>
      </c>
      <c r="E66" t="s">
        <v>227</v>
      </c>
      <c r="F66">
        <f>'Webtraffic predictions'!E158</f>
        <v>513259.38159364398</v>
      </c>
      <c r="G66">
        <v>1</v>
      </c>
      <c r="H66">
        <v>1</v>
      </c>
      <c r="I66">
        <v>0</v>
      </c>
      <c r="J66">
        <f>IF(I66=1,F66*G66*H66,IF(B66="Direct",F66*G66*H66*'Consumer Preference Profile'!$A$9,F66*G66*H66*INDEX('Consumer Preference Profile'!$A$7:$U$7,MATCH(E66,'Consumer Preference Profile'!$A$1:$U$1))))</f>
        <v>1358.6431533141263</v>
      </c>
      <c r="K66" t="s">
        <v>234</v>
      </c>
    </row>
    <row r="67" spans="1:11">
      <c r="A67" t="s">
        <v>117</v>
      </c>
      <c r="B67" t="s">
        <v>166</v>
      </c>
      <c r="C67" t="s">
        <v>164</v>
      </c>
      <c r="D67" t="s">
        <v>93</v>
      </c>
      <c r="E67" t="s">
        <v>227</v>
      </c>
      <c r="F67" t="e">
        <f>SUM(Digital!#REF!)</f>
        <v>#REF!</v>
      </c>
      <c r="G67">
        <v>1</v>
      </c>
      <c r="H67">
        <v>1</v>
      </c>
      <c r="I67">
        <v>1</v>
      </c>
      <c r="J67">
        <f>IF(I67=1,SUM(Digital!E2:E34)*G67*H67,IF(B67="Direct",F67*G67*H67*'Consumer Preference Profile'!$A$9,F67*G67*H67*INDEX('Consumer Preference Profile'!$A$7:$U$7,MATCH(E67,'Consumer Preference Profile'!$A$1:$U$1))))</f>
        <v>96533.104620151411</v>
      </c>
      <c r="K67" t="s">
        <v>234</v>
      </c>
    </row>
    <row r="68" spans="1:11">
      <c r="A68" t="s">
        <v>157</v>
      </c>
      <c r="B68" t="s">
        <v>166</v>
      </c>
      <c r="C68" t="s">
        <v>157</v>
      </c>
      <c r="D68" t="s">
        <v>93</v>
      </c>
      <c r="E68" t="s">
        <v>227</v>
      </c>
      <c r="F68">
        <f>SUM(Print!E2:E76)</f>
        <v>18227.092901340082</v>
      </c>
      <c r="G68">
        <v>1</v>
      </c>
      <c r="H68">
        <v>1</v>
      </c>
      <c r="I68">
        <v>1</v>
      </c>
      <c r="J68">
        <f>IF(I68=1,SUM(Print!F2:F76)*G68*H68,IF(B68="Direct",F68*G68*H68*'Consumer Preference Profile'!$A$9,F68*G68*H68*INDEX('Consumer Preference Profile'!$A$7:$U$7,MATCH(E68,'Consumer Preference Profile'!$A$1:$U$1))))</f>
        <v>49879.592556169693</v>
      </c>
      <c r="K68" t="s">
        <v>234</v>
      </c>
    </row>
  </sheetData>
  <autoFilter ref="A1:L65"/>
  <sortState ref="A2:L63">
    <sortCondition ref="E2:E63"/>
  </sortState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"/>
  <sheetViews>
    <sheetView topLeftCell="A47" workbookViewId="0">
      <selection activeCell="F2" sqref="F2:F76"/>
    </sheetView>
  </sheetViews>
  <sheetFormatPr defaultColWidth="9" defaultRowHeight="15"/>
  <cols>
    <col min="1" max="1" width="36.5703125" style="33" bestFit="1" customWidth="1"/>
    <col min="2" max="4" width="9" style="35"/>
    <col min="5" max="6" width="13.5703125" style="35" customWidth="1"/>
    <col min="7" max="7" width="9" style="35"/>
    <col min="8" max="9" width="23.7109375" style="35" bestFit="1" customWidth="1"/>
    <col min="10" max="16384" width="9" style="35"/>
  </cols>
  <sheetData>
    <row r="1" spans="1:8">
      <c r="A1" s="33" t="s">
        <v>7</v>
      </c>
      <c r="B1" s="35" t="s">
        <v>5</v>
      </c>
      <c r="C1" s="35" t="s">
        <v>8</v>
      </c>
      <c r="D1" s="35" t="s">
        <v>6</v>
      </c>
      <c r="E1" s="35" t="s">
        <v>26</v>
      </c>
      <c r="F1" s="35" t="s">
        <v>237</v>
      </c>
      <c r="G1" s="35" t="s">
        <v>9</v>
      </c>
      <c r="H1" s="35" t="s">
        <v>232</v>
      </c>
    </row>
    <row r="2" spans="1:8">
      <c r="A2" s="34" t="s">
        <v>10</v>
      </c>
      <c r="B2" s="35" t="s">
        <v>11</v>
      </c>
      <c r="C2" s="36">
        <v>21550</v>
      </c>
      <c r="D2" s="35">
        <v>18</v>
      </c>
      <c r="E2" s="35">
        <f>C2*D2*INDEX('Consumer Preference Profile'!$A$4:$U$4,MATCH(G2,'Consumer Preference Profile'!$A$1:$U$1))</f>
        <v>400.97883110460327</v>
      </c>
      <c r="F2" s="35">
        <f>C2*D2*INDEX('Consumer Preference Profile'!$A$7:$U$7,MATCH(G2,'Consumer Preference Profile'!$A$1:$U$1))</f>
        <v>1011.6766659150877</v>
      </c>
      <c r="G2" s="35">
        <v>2011</v>
      </c>
      <c r="H2" s="35" t="s">
        <v>25</v>
      </c>
    </row>
    <row r="3" spans="1:8">
      <c r="A3" s="34" t="s">
        <v>12</v>
      </c>
      <c r="B3" s="35" t="s">
        <v>11</v>
      </c>
      <c r="C3" s="36">
        <v>10000</v>
      </c>
      <c r="D3" s="35">
        <v>52</v>
      </c>
      <c r="E3" s="35">
        <f>C3*D3*INDEX('Consumer Preference Profile'!$A$4:$U$4,MATCH(G3,'Consumer Preference Profile'!$A$1:$U$1))</f>
        <v>537.53284912192237</v>
      </c>
      <c r="F3" s="35">
        <f>C3*D3*INDEX('Consumer Preference Profile'!$A$7:$U$7,MATCH(G3,'Consumer Preference Profile'!$A$1:$U$1))</f>
        <v>1356.2048627889808</v>
      </c>
      <c r="G3" s="35">
        <v>2011</v>
      </c>
      <c r="H3" s="35" t="s">
        <v>25</v>
      </c>
    </row>
    <row r="4" spans="1:8">
      <c r="A4" s="34" t="s">
        <v>13</v>
      </c>
      <c r="B4" s="35" t="s">
        <v>11</v>
      </c>
      <c r="C4" s="36">
        <v>25000</v>
      </c>
      <c r="D4" s="35">
        <v>48</v>
      </c>
      <c r="E4" s="35">
        <f>C4*D4*INDEX('Consumer Preference Profile'!$A$4:$U$4,MATCH(G4,'Consumer Preference Profile'!$A$1:$U$1))</f>
        <v>1240.4604210505902</v>
      </c>
      <c r="F4" s="35">
        <f>C4*D4*INDEX('Consumer Preference Profile'!$A$7:$U$7,MATCH(G4,'Consumer Preference Profile'!$A$1:$U$1))</f>
        <v>3129.7035295130322</v>
      </c>
      <c r="G4" s="35">
        <v>2011</v>
      </c>
      <c r="H4" s="35" t="s">
        <v>25</v>
      </c>
    </row>
    <row r="5" spans="1:8">
      <c r="A5" s="34" t="s">
        <v>14</v>
      </c>
      <c r="B5" s="35" t="s">
        <v>11</v>
      </c>
      <c r="C5" s="35">
        <v>1845</v>
      </c>
      <c r="D5" s="35">
        <v>12</v>
      </c>
      <c r="E5" s="35">
        <f>C5*D5*INDEX('Consumer Preference Profile'!$A$4:$U$4,MATCH(G5,'Consumer Preference Profile'!$A$1:$U$1))</f>
        <v>22.88649476838339</v>
      </c>
      <c r="F5" s="35">
        <f>C5*D5*INDEX('Consumer Preference Profile'!$A$7:$U$7,MATCH(G5,'Consumer Preference Profile'!$A$1:$U$1))</f>
        <v>57.743030119515446</v>
      </c>
      <c r="G5" s="35">
        <v>2011</v>
      </c>
      <c r="H5" s="35" t="s">
        <v>25</v>
      </c>
    </row>
    <row r="6" spans="1:8">
      <c r="A6" s="34" t="s">
        <v>15</v>
      </c>
      <c r="B6" s="35" t="s">
        <v>11</v>
      </c>
      <c r="C6" s="36">
        <v>4800</v>
      </c>
      <c r="D6" s="35">
        <v>12</v>
      </c>
      <c r="E6" s="35">
        <f>C6*D6*INDEX('Consumer Preference Profile'!$A$4:$U$4,MATCH(G6,'Consumer Preference Profile'!$A$1:$U$1))</f>
        <v>59.542100210428323</v>
      </c>
      <c r="F6" s="35">
        <f>C6*D6*INDEX('Consumer Preference Profile'!$A$7:$U$7,MATCH(G6,'Consumer Preference Profile'!$A$1:$U$1))</f>
        <v>150.22576941662555</v>
      </c>
      <c r="G6" s="35">
        <v>2011</v>
      </c>
      <c r="H6" s="35" t="s">
        <v>25</v>
      </c>
    </row>
    <row r="7" spans="1:8">
      <c r="A7" s="34" t="s">
        <v>16</v>
      </c>
      <c r="B7" s="35" t="s">
        <v>11</v>
      </c>
      <c r="C7" s="36">
        <v>7000</v>
      </c>
      <c r="D7" s="35">
        <v>24</v>
      </c>
      <c r="E7" s="35">
        <f>C7*D7*INDEX('Consumer Preference Profile'!$A$4:$U$4,MATCH(G7,'Consumer Preference Profile'!$A$1:$U$1))</f>
        <v>173.66445894708261</v>
      </c>
      <c r="F7" s="35">
        <f>C7*D7*INDEX('Consumer Preference Profile'!$A$7:$U$7,MATCH(G7,'Consumer Preference Profile'!$A$1:$U$1))</f>
        <v>438.15849413182451</v>
      </c>
      <c r="G7" s="35">
        <v>2011</v>
      </c>
      <c r="H7" s="35" t="s">
        <v>25</v>
      </c>
    </row>
    <row r="8" spans="1:8">
      <c r="A8" s="34" t="s">
        <v>17</v>
      </c>
      <c r="B8" s="35" t="s">
        <v>11</v>
      </c>
      <c r="C8" s="36">
        <v>8000</v>
      </c>
      <c r="D8" s="35">
        <v>52</v>
      </c>
      <c r="E8" s="35">
        <f>C8*D8*INDEX('Consumer Preference Profile'!$A$4:$U$4,MATCH(G8,'Consumer Preference Profile'!$A$1:$U$1))</f>
        <v>430.02627929753794</v>
      </c>
      <c r="F8" s="35">
        <f>C8*D8*INDEX('Consumer Preference Profile'!$A$7:$U$7,MATCH(G8,'Consumer Preference Profile'!$A$1:$U$1))</f>
        <v>1084.9638902311845</v>
      </c>
      <c r="G8" s="35">
        <v>2011</v>
      </c>
      <c r="H8" s="35" t="s">
        <v>25</v>
      </c>
    </row>
    <row r="9" spans="1:8">
      <c r="A9" s="34" t="s">
        <v>18</v>
      </c>
      <c r="B9" s="35" t="s">
        <v>11</v>
      </c>
      <c r="C9" s="36">
        <v>5500</v>
      </c>
      <c r="D9" s="35">
        <v>4</v>
      </c>
      <c r="E9" s="35">
        <f>C9*D9*INDEX('Consumer Preference Profile'!$A$4:$U$4,MATCH(G9,'Consumer Preference Profile'!$A$1:$U$1))</f>
        <v>22.741774385927485</v>
      </c>
      <c r="F9" s="35">
        <f>C9*D9*INDEX('Consumer Preference Profile'!$A$7:$U$7,MATCH(G9,'Consumer Preference Profile'!$A$1:$U$1))</f>
        <v>57.377898041072257</v>
      </c>
      <c r="G9" s="35">
        <v>2011</v>
      </c>
      <c r="H9" s="35" t="s">
        <v>25</v>
      </c>
    </row>
    <row r="10" spans="1:8">
      <c r="A10" s="34" t="s">
        <v>19</v>
      </c>
      <c r="B10" s="35" t="s">
        <v>11</v>
      </c>
      <c r="C10" s="36">
        <v>30600</v>
      </c>
      <c r="D10" s="35">
        <v>12</v>
      </c>
      <c r="E10" s="35">
        <f>C10*D10*INDEX('Consumer Preference Profile'!$A$4:$U$4,MATCH(G10,'Consumer Preference Profile'!$A$1:$U$1))</f>
        <v>379.5808888414806</v>
      </c>
      <c r="F10" s="35">
        <f>C10*D10*INDEX('Consumer Preference Profile'!$A$7:$U$7,MATCH(G10,'Consumer Preference Profile'!$A$1:$U$1))</f>
        <v>957.6892800309879</v>
      </c>
      <c r="G10" s="35">
        <v>2011</v>
      </c>
      <c r="H10" s="35" t="s">
        <v>25</v>
      </c>
    </row>
    <row r="11" spans="1:8">
      <c r="A11" s="34" t="s">
        <v>20</v>
      </c>
      <c r="B11" s="35" t="s">
        <v>11</v>
      </c>
      <c r="C11" s="36">
        <v>40600</v>
      </c>
      <c r="D11" s="35">
        <v>24</v>
      </c>
      <c r="E11" s="35">
        <f>C11*D11*INDEX('Consumer Preference Profile'!$A$4:$U$4,MATCH(G11,'Consumer Preference Profile'!$A$1:$U$1))</f>
        <v>1007.2538618930791</v>
      </c>
      <c r="F11" s="35">
        <f>C11*D11*INDEX('Consumer Preference Profile'!$A$7:$U$7,MATCH(G11,'Consumer Preference Profile'!$A$1:$U$1))</f>
        <v>2541.3192659645824</v>
      </c>
      <c r="G11" s="35">
        <v>2011</v>
      </c>
      <c r="H11" s="35" t="s">
        <v>25</v>
      </c>
    </row>
    <row r="12" spans="1:8">
      <c r="A12" s="34" t="s">
        <v>21</v>
      </c>
      <c r="B12" s="35" t="s">
        <v>11</v>
      </c>
      <c r="C12" s="36">
        <v>2150</v>
      </c>
      <c r="D12" s="35">
        <v>4</v>
      </c>
      <c r="E12" s="35">
        <f>C12*D12*INDEX('Consumer Preference Profile'!$A$4:$U$4,MATCH(G12,'Consumer Preference Profile'!$A$1:$U$1))</f>
        <v>8.8899663508625633</v>
      </c>
      <c r="F12" s="35">
        <f>C12*D12*INDEX('Consumer Preference Profile'!$A$7:$U$7,MATCH(G12,'Consumer Preference Profile'!$A$1:$U$1))</f>
        <v>22.429541961510065</v>
      </c>
      <c r="G12" s="35">
        <v>2011</v>
      </c>
      <c r="H12" s="35" t="s">
        <v>25</v>
      </c>
    </row>
    <row r="13" spans="1:8">
      <c r="A13" s="34" t="s">
        <v>22</v>
      </c>
      <c r="B13" s="35" t="s">
        <v>11</v>
      </c>
      <c r="C13" s="36">
        <v>5734</v>
      </c>
      <c r="D13" s="35">
        <v>12</v>
      </c>
      <c r="E13" s="35">
        <f>C13*D13*INDEX('Consumer Preference Profile'!$A$4:$U$4,MATCH(G13,'Consumer Preference Profile'!$A$1:$U$1))</f>
        <v>71.128000543040841</v>
      </c>
      <c r="F13" s="35">
        <f>C13*D13*INDEX('Consumer Preference Profile'!$A$7:$U$7,MATCH(G13,'Consumer Preference Profile'!$A$1:$U$1))</f>
        <v>179.45720038227728</v>
      </c>
      <c r="G13" s="35">
        <v>2011</v>
      </c>
      <c r="H13" s="35" t="s">
        <v>25</v>
      </c>
    </row>
    <row r="14" spans="1:8">
      <c r="A14" s="34" t="s">
        <v>23</v>
      </c>
      <c r="B14" s="35" t="s">
        <v>11</v>
      </c>
      <c r="C14" s="36">
        <v>43000</v>
      </c>
      <c r="D14" s="35">
        <v>12</v>
      </c>
      <c r="E14" s="35">
        <f>C14*D14*INDEX('Consumer Preference Profile'!$A$4:$U$4,MATCH(G14,'Consumer Preference Profile'!$A$1:$U$1))</f>
        <v>533.39798105175373</v>
      </c>
      <c r="F14" s="35">
        <f>C14*D14*INDEX('Consumer Preference Profile'!$A$7:$U$7,MATCH(G14,'Consumer Preference Profile'!$A$1:$U$1))</f>
        <v>1345.772517690604</v>
      </c>
      <c r="G14" s="35">
        <v>2011</v>
      </c>
      <c r="H14" s="35" t="s">
        <v>25</v>
      </c>
    </row>
    <row r="15" spans="1:8">
      <c r="A15" s="34" t="s">
        <v>24</v>
      </c>
      <c r="B15" s="35" t="s">
        <v>11</v>
      </c>
      <c r="C15" s="36">
        <v>46500</v>
      </c>
      <c r="D15" s="35">
        <v>9</v>
      </c>
      <c r="E15" s="35">
        <f>C15*D15*INDEX('Consumer Preference Profile'!$A$4:$U$4,MATCH(G15,'Consumer Preference Profile'!$A$1:$U$1))</f>
        <v>432.61057184139332</v>
      </c>
      <c r="F15" s="35">
        <f>C15*D15*INDEX('Consumer Preference Profile'!$A$7:$U$7,MATCH(G15,'Consumer Preference Profile'!$A$1:$U$1))</f>
        <v>1091.4841059176701</v>
      </c>
      <c r="G15" s="35">
        <v>2011</v>
      </c>
      <c r="H15" s="35" t="s">
        <v>25</v>
      </c>
    </row>
    <row r="16" spans="1:8">
      <c r="A16" s="34" t="s">
        <v>15</v>
      </c>
      <c r="B16" s="35" t="s">
        <v>11</v>
      </c>
      <c r="C16" s="36">
        <v>4800</v>
      </c>
      <c r="D16" s="35">
        <v>12</v>
      </c>
      <c r="E16" s="35">
        <f>C16*D16*INDEX('Consumer Preference Profile'!$A$4:$U$4,MATCH(G16,'Consumer Preference Profile'!$A$1:$U$1))</f>
        <v>59.542100210428323</v>
      </c>
      <c r="F16" s="35">
        <f>C16*D16*INDEX('Consumer Preference Profile'!$A$7:$U$7,MATCH(G16,'Consumer Preference Profile'!$A$1:$U$1))</f>
        <v>150.22576941662555</v>
      </c>
      <c r="G16" s="35">
        <v>2011</v>
      </c>
      <c r="H16" s="35" t="s">
        <v>25</v>
      </c>
    </row>
    <row r="17" spans="1:8" ht="60">
      <c r="A17" s="33" t="s">
        <v>122</v>
      </c>
      <c r="B17" s="35" t="s">
        <v>11</v>
      </c>
      <c r="C17" s="36">
        <v>3245800</v>
      </c>
      <c r="D17" s="35">
        <v>1</v>
      </c>
      <c r="E17" s="35">
        <f>C17*D17*INDEX('Consumer Preference Profile'!$A$4:$U$4,MATCH(G17,'Consumer Preference Profile'!$A$1:$U$1))</f>
        <v>3065.7850968152607</v>
      </c>
      <c r="F17" s="35">
        <f>C17*D17*INDEX('Consumer Preference Profile'!$A$7:$U$7,MATCH(G17,'Consumer Preference Profile'!$A$1:$U$1))</f>
        <v>8465.3264300778337</v>
      </c>
      <c r="G17" s="35">
        <v>2006</v>
      </c>
      <c r="H17" s="37" t="s">
        <v>171</v>
      </c>
    </row>
    <row r="18" spans="1:8">
      <c r="A18" s="33" t="s">
        <v>236</v>
      </c>
      <c r="B18" s="35" t="s">
        <v>11</v>
      </c>
      <c r="C18" s="36">
        <v>381153</v>
      </c>
      <c r="D18" s="35">
        <v>1</v>
      </c>
      <c r="E18" s="35">
        <f>C18*D18*INDEX('Consumer Preference Profile'!$A$4:$U$4,MATCH(G18,'Consumer Preference Profile'!$A$1:$U$1))</f>
        <v>445.36256126735015</v>
      </c>
      <c r="F18" s="35">
        <f>C18*D18*INDEX('Consumer Preference Profile'!$A$7:$U$7,MATCH(G18,'Consumer Preference Profile'!$A$1:$U$1))</f>
        <v>1005.0236966572271</v>
      </c>
      <c r="G18" s="35">
        <v>2015</v>
      </c>
      <c r="H18" s="35" t="s">
        <v>136</v>
      </c>
    </row>
    <row r="19" spans="1:8">
      <c r="A19" s="34" t="s">
        <v>13</v>
      </c>
      <c r="B19" s="35" t="s">
        <v>11</v>
      </c>
      <c r="C19" s="36">
        <v>25000</v>
      </c>
      <c r="D19" s="35">
        <v>1</v>
      </c>
      <c r="E19" s="35">
        <f>C19*D19*INDEX('Consumer Preference Profile'!$A$4:$U$4,MATCH(G19,'Consumer Preference Profile'!$A$1:$U$1))</f>
        <v>23.613478162666066</v>
      </c>
      <c r="F19" s="35">
        <f>C19*D19*INDEX('Consumer Preference Profile'!$A$7:$U$7,MATCH(G19,'Consumer Preference Profile'!$A$1:$U$1))</f>
        <v>69.000758597662255</v>
      </c>
      <c r="G19" s="35">
        <v>2001</v>
      </c>
      <c r="H19" s="35" t="s">
        <v>131</v>
      </c>
    </row>
    <row r="20" spans="1:8">
      <c r="A20" s="33" t="s">
        <v>177</v>
      </c>
      <c r="E20" s="35">
        <f>C20*D20*INDEX('Consumer Preference Profile'!$A$4:$U$4,MATCH(G20,'Consumer Preference Profile'!$A$1:$U$1))</f>
        <v>0</v>
      </c>
      <c r="F20" s="35">
        <f>C20*D20*INDEX('Consumer Preference Profile'!$A$7:$U$7,MATCH(G20,'Consumer Preference Profile'!$A$1:$U$1))</f>
        <v>0</v>
      </c>
      <c r="G20" s="35">
        <v>2001</v>
      </c>
      <c r="H20" s="35" t="s">
        <v>131</v>
      </c>
    </row>
    <row r="21" spans="1:8">
      <c r="A21" s="34" t="s">
        <v>20</v>
      </c>
      <c r="B21" s="35" t="s">
        <v>11</v>
      </c>
      <c r="C21" s="36">
        <v>40600</v>
      </c>
      <c r="D21" s="35">
        <v>1</v>
      </c>
      <c r="E21" s="35">
        <f>C21*D21*INDEX('Consumer Preference Profile'!$A$4:$U$4,MATCH(G21,'Consumer Preference Profile'!$A$1:$U$1))</f>
        <v>38.34828853616969</v>
      </c>
      <c r="F21" s="35">
        <f>C21*D21*INDEX('Consumer Preference Profile'!$A$7:$U$7,MATCH(G21,'Consumer Preference Profile'!$A$1:$U$1))</f>
        <v>112.05723196260351</v>
      </c>
      <c r="G21" s="35">
        <v>2001</v>
      </c>
      <c r="H21" s="35" t="s">
        <v>131</v>
      </c>
    </row>
    <row r="22" spans="1:8">
      <c r="A22" s="34" t="s">
        <v>19</v>
      </c>
      <c r="B22" s="35" t="s">
        <v>11</v>
      </c>
      <c r="C22" s="36">
        <v>30600</v>
      </c>
      <c r="D22" s="35">
        <v>1</v>
      </c>
      <c r="E22" s="35">
        <f>C22*D22*INDEX('Consumer Preference Profile'!$A$4:$U$4,MATCH(G22,'Consumer Preference Profile'!$A$1:$U$1))</f>
        <v>28.902897271103264</v>
      </c>
      <c r="F22" s="35">
        <f>C22*D22*INDEX('Consumer Preference Profile'!$A$7:$U$7,MATCH(G22,'Consumer Preference Profile'!$A$1:$U$1))</f>
        <v>84.456928523538608</v>
      </c>
      <c r="G22" s="35">
        <v>2001</v>
      </c>
      <c r="H22" s="35" t="s">
        <v>131</v>
      </c>
    </row>
    <row r="23" spans="1:8">
      <c r="A23" s="34" t="s">
        <v>14</v>
      </c>
      <c r="B23" s="35" t="s">
        <v>11</v>
      </c>
      <c r="C23" s="35">
        <v>1845</v>
      </c>
      <c r="D23" s="35">
        <v>1</v>
      </c>
      <c r="E23" s="35">
        <f>C23*D23*INDEX('Consumer Preference Profile'!$A$4:$U$4,MATCH(G23,'Consumer Preference Profile'!$A$1:$U$1))</f>
        <v>1.7426746884047557</v>
      </c>
      <c r="F23" s="35">
        <f>C23*D23*INDEX('Consumer Preference Profile'!$A$7:$U$7,MATCH(G23,'Consumer Preference Profile'!$A$1:$U$1))</f>
        <v>5.0922559845074744</v>
      </c>
      <c r="G23" s="35">
        <v>2001</v>
      </c>
      <c r="H23" s="35" t="s">
        <v>131</v>
      </c>
    </row>
    <row r="24" spans="1:8">
      <c r="A24" s="34" t="s">
        <v>15</v>
      </c>
      <c r="B24" s="35" t="s">
        <v>11</v>
      </c>
      <c r="C24" s="36">
        <v>4800</v>
      </c>
      <c r="D24" s="35">
        <v>1</v>
      </c>
      <c r="E24" s="35">
        <f>C24*D24*INDEX('Consumer Preference Profile'!$A$4:$U$4,MATCH(G24,'Consumer Preference Profile'!$A$1:$U$1))</f>
        <v>4.5337878072318842</v>
      </c>
      <c r="F24" s="35">
        <f>C24*D24*INDEX('Consumer Preference Profile'!$A$7:$U$7,MATCH(G24,'Consumer Preference Profile'!$A$1:$U$1))</f>
        <v>13.248145650751153</v>
      </c>
      <c r="G24" s="35">
        <v>2001</v>
      </c>
      <c r="H24" s="35" t="s">
        <v>131</v>
      </c>
    </row>
    <row r="25" spans="1:8">
      <c r="A25" s="34" t="s">
        <v>22</v>
      </c>
      <c r="B25" s="35" t="s">
        <v>11</v>
      </c>
      <c r="C25" s="36">
        <v>5734</v>
      </c>
      <c r="D25" s="35">
        <v>1</v>
      </c>
      <c r="E25" s="35">
        <f>C25*D25*INDEX('Consumer Preference Profile'!$A$4:$U$4,MATCH(G25,'Consumer Preference Profile'!$A$1:$U$1))</f>
        <v>5.4159873513890888</v>
      </c>
      <c r="F25" s="35">
        <f>C25*D25*INDEX('Consumer Preference Profile'!$A$7:$U$7,MATCH(G25,'Consumer Preference Profile'!$A$1:$U$1))</f>
        <v>15.826013991959815</v>
      </c>
      <c r="G25" s="35">
        <v>2001</v>
      </c>
      <c r="H25" s="35" t="s">
        <v>131</v>
      </c>
    </row>
    <row r="26" spans="1:8">
      <c r="A26" s="34" t="s">
        <v>178</v>
      </c>
      <c r="E26" s="35">
        <f>C26*D26*INDEX('Consumer Preference Profile'!$A$4:$U$4,MATCH(G26,'Consumer Preference Profile'!$A$1:$U$1))</f>
        <v>0</v>
      </c>
      <c r="F26" s="35">
        <f>C26*D26*INDEX('Consumer Preference Profile'!$A$7:$U$7,MATCH(G26,'Consumer Preference Profile'!$A$1:$U$1))</f>
        <v>0</v>
      </c>
      <c r="G26" s="35">
        <v>2001</v>
      </c>
      <c r="H26" s="35" t="s">
        <v>131</v>
      </c>
    </row>
    <row r="27" spans="1:8">
      <c r="A27" s="34" t="s">
        <v>14</v>
      </c>
      <c r="B27" s="35" t="s">
        <v>11</v>
      </c>
      <c r="C27" s="35">
        <v>1845</v>
      </c>
      <c r="D27" s="35">
        <v>6</v>
      </c>
      <c r="E27" s="35">
        <f>C27*D27*INDEX('Consumer Preference Profile'!$A$4:$U$4,MATCH(G27,'Consumer Preference Profile'!$A$1:$U$1))</f>
        <v>10.456048130428533</v>
      </c>
      <c r="F27" s="35">
        <f>C27*D27*INDEX('Consumer Preference Profile'!$A$7:$U$7,MATCH(G27,'Consumer Preference Profile'!$A$1:$U$1))</f>
        <v>30.553535907044846</v>
      </c>
      <c r="G27" s="35">
        <v>2002</v>
      </c>
      <c r="H27" s="35" t="s">
        <v>81</v>
      </c>
    </row>
    <row r="28" spans="1:8">
      <c r="A28" s="34" t="s">
        <v>15</v>
      </c>
      <c r="B28" s="35" t="s">
        <v>11</v>
      </c>
      <c r="C28" s="36">
        <v>4800</v>
      </c>
      <c r="D28" s="35">
        <v>12</v>
      </c>
      <c r="E28" s="35">
        <f>C28*D28*INDEX('Consumer Preference Profile'!$A$4:$U$4,MATCH(G28,'Consumer Preference Profile'!$A$1:$U$1))</f>
        <v>54.405453686782614</v>
      </c>
      <c r="F28" s="35">
        <f>C28*D28*INDEX('Consumer Preference Profile'!$A$7:$U$7,MATCH(G28,'Consumer Preference Profile'!$A$1:$U$1))</f>
        <v>158.97774780901383</v>
      </c>
      <c r="G28" s="35">
        <v>2002</v>
      </c>
      <c r="H28" s="35" t="s">
        <v>81</v>
      </c>
    </row>
    <row r="29" spans="1:8">
      <c r="A29" s="34" t="s">
        <v>22</v>
      </c>
      <c r="B29" s="35" t="s">
        <v>11</v>
      </c>
      <c r="C29" s="36">
        <v>5734</v>
      </c>
      <c r="D29" s="35">
        <v>4</v>
      </c>
      <c r="E29" s="35">
        <f>C29*D29*INDEX('Consumer Preference Profile'!$A$4:$U$4,MATCH(G29,'Consumer Preference Profile'!$A$1:$U$1))</f>
        <v>21.663949405556355</v>
      </c>
      <c r="F29" s="35">
        <f>C29*D29*INDEX('Consumer Preference Profile'!$A$7:$U$7,MATCH(G29,'Consumer Preference Profile'!$A$1:$U$1))</f>
        <v>63.304055967839261</v>
      </c>
      <c r="G29" s="35">
        <v>2002</v>
      </c>
      <c r="H29" s="35" t="s">
        <v>81</v>
      </c>
    </row>
    <row r="30" spans="1:8">
      <c r="A30" s="34" t="s">
        <v>120</v>
      </c>
      <c r="B30" s="35" t="s">
        <v>11</v>
      </c>
      <c r="C30" s="36">
        <v>51502</v>
      </c>
      <c r="D30" s="35">
        <v>11</v>
      </c>
      <c r="E30" s="35">
        <f>C30*D30*INDEX('Consumer Preference Profile'!$A$4:$U$4,MATCH(G30,'Consumer Preference Profile'!$A$1:$U$1))</f>
        <v>535.10219502679615</v>
      </c>
      <c r="F30" s="35">
        <f>C30*D30*INDEX('Consumer Preference Profile'!$A$7:$U$7,MATCH(G30,'Consumer Preference Profile'!$A$1:$U$1))</f>
        <v>1563.6179104905927</v>
      </c>
      <c r="G30" s="35">
        <v>2002</v>
      </c>
      <c r="H30" s="35" t="s">
        <v>81</v>
      </c>
    </row>
    <row r="31" spans="1:8">
      <c r="A31" s="34" t="s">
        <v>121</v>
      </c>
      <c r="B31" s="35" t="s">
        <v>11</v>
      </c>
      <c r="C31" s="38">
        <v>45361</v>
      </c>
      <c r="D31" s="35">
        <v>11</v>
      </c>
      <c r="E31" s="35">
        <f>C31*D31*INDEX('Consumer Preference Profile'!$A$4:$U$4,MATCH(G31,'Consumer Preference Profile'!$A$1:$U$1))</f>
        <v>471.29763249214596</v>
      </c>
      <c r="F31" s="35">
        <f>C31*D31*INDEX('Consumer Preference Profile'!$A$7:$U$7,MATCH(G31,'Consumer Preference Profile'!$A$1:$U$1))</f>
        <v>1377.1751007293653</v>
      </c>
      <c r="G31" s="35">
        <v>2002</v>
      </c>
      <c r="H31" s="35" t="s">
        <v>81</v>
      </c>
    </row>
    <row r="32" spans="1:8">
      <c r="A32" s="34" t="s">
        <v>181</v>
      </c>
      <c r="B32" s="35" t="s">
        <v>11</v>
      </c>
      <c r="C32" s="36">
        <v>0</v>
      </c>
      <c r="D32" s="35">
        <v>11</v>
      </c>
      <c r="E32" s="35">
        <f>C32*D32*INDEX('Consumer Preference Profile'!$A$4:$U$4,MATCH(G32,'Consumer Preference Profile'!$A$1:$U$1))</f>
        <v>0</v>
      </c>
      <c r="F32" s="35">
        <f>C32*D32*INDEX('Consumer Preference Profile'!$A$7:$U$7,MATCH(G32,'Consumer Preference Profile'!$A$1:$U$1))</f>
        <v>0</v>
      </c>
      <c r="G32" s="35">
        <v>2002</v>
      </c>
      <c r="H32" s="35" t="s">
        <v>81</v>
      </c>
    </row>
    <row r="33" spans="1:8">
      <c r="A33" s="34" t="s">
        <v>180</v>
      </c>
      <c r="B33" s="35" t="s">
        <v>11</v>
      </c>
      <c r="C33" s="36">
        <v>8677</v>
      </c>
      <c r="D33" s="35">
        <v>11</v>
      </c>
      <c r="E33" s="35">
        <f>C33*D33*INDEX('Consumer Preference Profile'!$A$4:$U$4,MATCH(G33,'Consumer Preference Profile'!$A$1:$U$1))</f>
        <v>90.153426007679514</v>
      </c>
      <c r="F33" s="35">
        <f>C33*D33*INDEX('Consumer Preference Profile'!$A$7:$U$7,MATCH(G33,'Consumer Preference Profile'!$A$1:$U$1))</f>
        <v>263.43661623484275</v>
      </c>
      <c r="G33" s="35">
        <v>2002</v>
      </c>
      <c r="H33" s="35" t="s">
        <v>81</v>
      </c>
    </row>
    <row r="34" spans="1:8">
      <c r="A34" s="34" t="s">
        <v>13</v>
      </c>
      <c r="B34" s="35" t="s">
        <v>11</v>
      </c>
      <c r="C34" s="36">
        <v>25000</v>
      </c>
      <c r="D34" s="35">
        <v>6</v>
      </c>
      <c r="E34" s="35">
        <f>C34*D34*INDEX('Consumer Preference Profile'!$A$4:$U$4,MATCH(G34,'Consumer Preference Profile'!$A$1:$U$1))</f>
        <v>141.68086897599639</v>
      </c>
      <c r="F34" s="35">
        <f>C34*D34*INDEX('Consumer Preference Profile'!$A$7:$U$7,MATCH(G34,'Consumer Preference Profile'!$A$1:$U$1))</f>
        <v>414.00455158597356</v>
      </c>
      <c r="G34" s="35">
        <v>2002</v>
      </c>
      <c r="H34" s="35" t="s">
        <v>81</v>
      </c>
    </row>
    <row r="35" spans="1:8">
      <c r="A35" s="34" t="s">
        <v>177</v>
      </c>
      <c r="B35" s="35" t="s">
        <v>11</v>
      </c>
      <c r="C35" s="35">
        <v>0</v>
      </c>
      <c r="D35" s="35">
        <v>6</v>
      </c>
      <c r="E35" s="35">
        <f>C35*D35*INDEX('Consumer Preference Profile'!$A$4:$U$4,MATCH(G35,'Consumer Preference Profile'!$A$1:$U$1))</f>
        <v>0</v>
      </c>
      <c r="F35" s="35">
        <f>C35*D35*INDEX('Consumer Preference Profile'!$A$7:$U$7,MATCH(G35,'Consumer Preference Profile'!$A$1:$U$1))</f>
        <v>0</v>
      </c>
      <c r="G35" s="35">
        <v>2002</v>
      </c>
      <c r="H35" s="35" t="s">
        <v>81</v>
      </c>
    </row>
    <row r="36" spans="1:8">
      <c r="A36" s="34" t="s">
        <v>179</v>
      </c>
      <c r="B36" s="35" t="s">
        <v>11</v>
      </c>
      <c r="C36" s="35">
        <v>0</v>
      </c>
      <c r="D36" s="35">
        <v>6</v>
      </c>
      <c r="E36" s="35">
        <f>C36*D36*INDEX('Consumer Preference Profile'!$A$4:$U$4,MATCH(G36,'Consumer Preference Profile'!$A$1:$U$1))</f>
        <v>0</v>
      </c>
      <c r="F36" s="35">
        <f>C36*D36*INDEX('Consumer Preference Profile'!$A$7:$U$7,MATCH(G36,'Consumer Preference Profile'!$A$1:$U$1))</f>
        <v>0</v>
      </c>
      <c r="G36" s="35">
        <v>2002</v>
      </c>
      <c r="H36" s="35" t="s">
        <v>81</v>
      </c>
    </row>
    <row r="37" spans="1:8">
      <c r="A37" s="34" t="s">
        <v>180</v>
      </c>
      <c r="B37" s="35" t="s">
        <v>11</v>
      </c>
      <c r="C37" s="36">
        <v>8677</v>
      </c>
      <c r="D37" s="35">
        <v>12</v>
      </c>
      <c r="E37" s="35">
        <f>C37*D37*INDEX('Consumer Preference Profile'!$A$4:$U$4,MATCH(G37,'Consumer Preference Profile'!$A$1:$U$1))</f>
        <v>98.349192008377656</v>
      </c>
      <c r="F37" s="35">
        <f>C37*D37*INDEX('Consumer Preference Profile'!$A$7:$U$7,MATCH(G37,'Consumer Preference Profile'!$A$1:$U$1))</f>
        <v>287.38539952891938</v>
      </c>
      <c r="G37" s="35">
        <v>2003</v>
      </c>
      <c r="H37" s="35" t="s">
        <v>186</v>
      </c>
    </row>
    <row r="38" spans="1:8">
      <c r="A38" s="34" t="s">
        <v>120</v>
      </c>
      <c r="B38" s="35" t="s">
        <v>11</v>
      </c>
      <c r="C38" s="36">
        <v>51502</v>
      </c>
      <c r="D38" s="35">
        <v>16</v>
      </c>
      <c r="E38" s="35">
        <f>C38*D38*INDEX('Consumer Preference Profile'!$A$4:$U$4,MATCH(G38,'Consumer Preference Profile'!$A$1:$U$1))</f>
        <v>778.33046549352173</v>
      </c>
      <c r="F38" s="35">
        <f>C38*D38*INDEX('Consumer Preference Profile'!$A$7:$U$7,MATCH(G38,'Consumer Preference Profile'!$A$1:$U$1))</f>
        <v>2274.3533243499528</v>
      </c>
      <c r="G38" s="35">
        <v>2003</v>
      </c>
      <c r="H38" s="35" t="s">
        <v>186</v>
      </c>
    </row>
    <row r="39" spans="1:8">
      <c r="A39" s="34" t="s">
        <v>121</v>
      </c>
      <c r="B39" s="35" t="s">
        <v>11</v>
      </c>
      <c r="C39" s="38">
        <v>45361</v>
      </c>
      <c r="D39" s="35">
        <v>12</v>
      </c>
      <c r="E39" s="35">
        <f>C39*D39*INDEX('Consumer Preference Profile'!$A$4:$U$4,MATCH(G39,'Consumer Preference Profile'!$A$1:$U$1))</f>
        <v>514.14287180961378</v>
      </c>
      <c r="F39" s="35">
        <f>C39*D39*INDEX('Consumer Preference Profile'!$A$7:$U$7,MATCH(G39,'Consumer Preference Profile'!$A$1:$U$1))</f>
        <v>1502.3728371593077</v>
      </c>
      <c r="G39" s="35">
        <v>2003</v>
      </c>
      <c r="H39" s="35" t="s">
        <v>186</v>
      </c>
    </row>
    <row r="40" spans="1:8">
      <c r="A40" s="34" t="s">
        <v>182</v>
      </c>
      <c r="B40" s="35" t="s">
        <v>11</v>
      </c>
      <c r="C40" s="35">
        <v>0</v>
      </c>
      <c r="D40" s="35">
        <v>6.6</v>
      </c>
      <c r="E40" s="35">
        <f>C40*D40*INDEX('Consumer Preference Profile'!$A$4:$U$4,MATCH(G40,'Consumer Preference Profile'!$A$1:$U$1))</f>
        <v>0</v>
      </c>
      <c r="F40" s="35">
        <f>C40*D40*INDEX('Consumer Preference Profile'!$A$7:$U$7,MATCH(G40,'Consumer Preference Profile'!$A$1:$U$1))</f>
        <v>0</v>
      </c>
      <c r="G40" s="35">
        <v>2003</v>
      </c>
      <c r="H40" s="35" t="s">
        <v>186</v>
      </c>
    </row>
    <row r="41" spans="1:8">
      <c r="A41" s="34" t="s">
        <v>183</v>
      </c>
      <c r="B41" s="35" t="s">
        <v>11</v>
      </c>
      <c r="C41" s="35">
        <v>0</v>
      </c>
      <c r="D41" s="35">
        <v>5</v>
      </c>
      <c r="E41" s="35">
        <f>C41*D41*INDEX('Consumer Preference Profile'!$A$4:$U$4,MATCH(G41,'Consumer Preference Profile'!$A$1:$U$1))</f>
        <v>0</v>
      </c>
      <c r="F41" s="35">
        <f>C41*D41*INDEX('Consumer Preference Profile'!$A$7:$U$7,MATCH(G41,'Consumer Preference Profile'!$A$1:$U$1))</f>
        <v>0</v>
      </c>
      <c r="G41" s="35">
        <v>2003</v>
      </c>
      <c r="H41" s="35" t="s">
        <v>186</v>
      </c>
    </row>
    <row r="42" spans="1:8">
      <c r="A42" s="34" t="s">
        <v>13</v>
      </c>
      <c r="B42" s="35" t="s">
        <v>11</v>
      </c>
      <c r="C42" s="36">
        <v>25000</v>
      </c>
      <c r="D42" s="35">
        <v>6</v>
      </c>
      <c r="E42" s="35">
        <f>C42*D42*INDEX('Consumer Preference Profile'!$A$4:$U$4,MATCH(G42,'Consumer Preference Profile'!$A$1:$U$1))</f>
        <v>141.68086897599639</v>
      </c>
      <c r="F42" s="35">
        <f>C42*D42*INDEX('Consumer Preference Profile'!$A$7:$U$7,MATCH(G42,'Consumer Preference Profile'!$A$1:$U$1))</f>
        <v>414.00455158597356</v>
      </c>
      <c r="G42" s="35">
        <v>2003</v>
      </c>
      <c r="H42" s="35" t="s">
        <v>186</v>
      </c>
    </row>
    <row r="43" spans="1:8">
      <c r="A43" s="34" t="s">
        <v>184</v>
      </c>
      <c r="B43" s="35" t="s">
        <v>11</v>
      </c>
      <c r="C43" s="35">
        <v>0</v>
      </c>
      <c r="D43" s="35">
        <v>5</v>
      </c>
      <c r="E43" s="35">
        <f>C43*D43*INDEX('Consumer Preference Profile'!$A$4:$U$4,MATCH(G43,'Consumer Preference Profile'!$A$1:$U$1))</f>
        <v>0</v>
      </c>
      <c r="F43" s="35">
        <f>C43*D43*INDEX('Consumer Preference Profile'!$A$7:$U$7,MATCH(G43,'Consumer Preference Profile'!$A$1:$U$1))</f>
        <v>0</v>
      </c>
      <c r="G43" s="35">
        <v>2003</v>
      </c>
      <c r="H43" s="35" t="s">
        <v>186</v>
      </c>
    </row>
    <row r="44" spans="1:8">
      <c r="A44" s="34" t="s">
        <v>179</v>
      </c>
      <c r="B44" s="35" t="s">
        <v>11</v>
      </c>
      <c r="C44" s="35">
        <v>0</v>
      </c>
      <c r="D44" s="35">
        <v>6</v>
      </c>
      <c r="E44" s="35">
        <f>C44*D44*INDEX('Consumer Preference Profile'!$A$4:$U$4,MATCH(G44,'Consumer Preference Profile'!$A$1:$U$1))</f>
        <v>0</v>
      </c>
      <c r="F44" s="35">
        <f>C44*D44*INDEX('Consumer Preference Profile'!$A$7:$U$7,MATCH(G44,'Consumer Preference Profile'!$A$1:$U$1))</f>
        <v>0</v>
      </c>
      <c r="G44" s="35">
        <v>2003</v>
      </c>
      <c r="H44" s="35" t="s">
        <v>186</v>
      </c>
    </row>
    <row r="45" spans="1:8">
      <c r="A45" s="34" t="s">
        <v>14</v>
      </c>
      <c r="B45" s="35" t="s">
        <v>11</v>
      </c>
      <c r="C45" s="35">
        <v>1845</v>
      </c>
      <c r="D45" s="35">
        <v>6</v>
      </c>
      <c r="E45" s="35">
        <f>C45*D45*INDEX('Consumer Preference Profile'!$A$4:$U$4,MATCH(G45,'Consumer Preference Profile'!$A$1:$U$1))</f>
        <v>10.456048130428533</v>
      </c>
      <c r="F45" s="35">
        <f>C45*D45*INDEX('Consumer Preference Profile'!$A$7:$U$7,MATCH(G45,'Consumer Preference Profile'!$A$1:$U$1))</f>
        <v>30.553535907044846</v>
      </c>
      <c r="G45" s="35">
        <v>2003</v>
      </c>
      <c r="H45" s="35" t="s">
        <v>186</v>
      </c>
    </row>
    <row r="46" spans="1:8">
      <c r="A46" s="34" t="s">
        <v>15</v>
      </c>
      <c r="B46" s="35" t="s">
        <v>11</v>
      </c>
      <c r="C46" s="36">
        <v>4800</v>
      </c>
      <c r="D46" s="35">
        <v>12</v>
      </c>
      <c r="E46" s="35">
        <f>C46*D46*INDEX('Consumer Preference Profile'!$A$4:$U$4,MATCH(G46,'Consumer Preference Profile'!$A$1:$U$1))</f>
        <v>54.405453686782614</v>
      </c>
      <c r="F46" s="35">
        <f>C46*D46*INDEX('Consumer Preference Profile'!$A$7:$U$7,MATCH(G46,'Consumer Preference Profile'!$A$1:$U$1))</f>
        <v>158.97774780901383</v>
      </c>
      <c r="G46" s="35">
        <v>2003</v>
      </c>
      <c r="H46" s="35" t="s">
        <v>186</v>
      </c>
    </row>
    <row r="47" spans="1:8">
      <c r="A47" s="34" t="s">
        <v>22</v>
      </c>
      <c r="B47" s="35" t="s">
        <v>11</v>
      </c>
      <c r="C47" s="36">
        <v>5734</v>
      </c>
      <c r="D47" s="35">
        <v>4</v>
      </c>
      <c r="E47" s="35">
        <f>C47*D47*INDEX('Consumer Preference Profile'!$A$4:$U$4,MATCH(G47,'Consumer Preference Profile'!$A$1:$U$1))</f>
        <v>21.663949405556355</v>
      </c>
      <c r="F47" s="35">
        <f>C47*D47*INDEX('Consumer Preference Profile'!$A$7:$U$7,MATCH(G47,'Consumer Preference Profile'!$A$1:$U$1))</f>
        <v>63.304055967839261</v>
      </c>
      <c r="G47" s="35">
        <v>2003</v>
      </c>
      <c r="H47" s="35" t="s">
        <v>186</v>
      </c>
    </row>
    <row r="48" spans="1:8">
      <c r="A48" s="34" t="s">
        <v>23</v>
      </c>
      <c r="B48" s="35" t="s">
        <v>11</v>
      </c>
      <c r="C48" s="36">
        <v>43000</v>
      </c>
      <c r="D48" s="35">
        <v>5</v>
      </c>
      <c r="E48" s="35">
        <f>C48*D48*INDEX('Consumer Preference Profile'!$A$4:$U$4,MATCH(G48,'Consumer Preference Profile'!$A$1:$U$1))</f>
        <v>203.07591219892817</v>
      </c>
      <c r="F48" s="35">
        <f>C48*D48*INDEX('Consumer Preference Profile'!$A$7:$U$7,MATCH(G48,'Consumer Preference Profile'!$A$1:$U$1))</f>
        <v>593.40652393989535</v>
      </c>
      <c r="G48" s="35">
        <v>2003</v>
      </c>
      <c r="H48" s="35" t="s">
        <v>186</v>
      </c>
    </row>
    <row r="49" spans="1:8">
      <c r="A49" s="34" t="s">
        <v>180</v>
      </c>
      <c r="B49" s="35" t="s">
        <v>11</v>
      </c>
      <c r="C49" s="36">
        <v>8677</v>
      </c>
      <c r="D49" s="35">
        <v>24</v>
      </c>
      <c r="E49" s="35">
        <f>C49*D49*INDEX('Consumer Preference Profile'!$A$4:$U$4,MATCH(G49,'Consumer Preference Profile'!$A$1:$U$1))</f>
        <v>196.69838401675531</v>
      </c>
      <c r="F49" s="35">
        <f>C49*D49*INDEX('Consumer Preference Profile'!$A$7:$U$7,MATCH(G49,'Consumer Preference Profile'!$A$1:$U$1))</f>
        <v>574.77079905783876</v>
      </c>
      <c r="G49" s="35">
        <v>2004</v>
      </c>
      <c r="H49" s="35" t="s">
        <v>188</v>
      </c>
    </row>
    <row r="50" spans="1:8">
      <c r="A50" s="34" t="s">
        <v>120</v>
      </c>
      <c r="B50" s="35" t="s">
        <v>11</v>
      </c>
      <c r="C50" s="36">
        <v>51502</v>
      </c>
      <c r="D50" s="35">
        <v>20</v>
      </c>
      <c r="E50" s="35">
        <f>C50*D50*INDEX('Consumer Preference Profile'!$A$4:$U$4,MATCH(G50,'Consumer Preference Profile'!$A$1:$U$1))</f>
        <v>972.91308186690219</v>
      </c>
      <c r="F50" s="35">
        <f>C50*D50*INDEX('Consumer Preference Profile'!$A$7:$U$7,MATCH(G50,'Consumer Preference Profile'!$A$1:$U$1))</f>
        <v>2842.9416554374411</v>
      </c>
      <c r="G50" s="35">
        <v>2004</v>
      </c>
      <c r="H50" s="35" t="s">
        <v>188</v>
      </c>
    </row>
    <row r="51" spans="1:8">
      <c r="A51" s="34" t="s">
        <v>121</v>
      </c>
      <c r="B51" s="35" t="s">
        <v>11</v>
      </c>
      <c r="C51" s="38">
        <v>45361</v>
      </c>
      <c r="D51" s="35">
        <v>19</v>
      </c>
      <c r="E51" s="35">
        <f>C51*D51*INDEX('Consumer Preference Profile'!$A$4:$U$4,MATCH(G51,'Consumer Preference Profile'!$A$1:$U$1))</f>
        <v>814.05954703188854</v>
      </c>
      <c r="F51" s="35">
        <f>C51*D51*INDEX('Consumer Preference Profile'!$A$7:$U$7,MATCH(G51,'Consumer Preference Profile'!$A$1:$U$1))</f>
        <v>2378.7569921689037</v>
      </c>
      <c r="G51" s="35">
        <v>2004</v>
      </c>
      <c r="H51" s="35" t="s">
        <v>188</v>
      </c>
    </row>
    <row r="52" spans="1:8">
      <c r="A52" s="34" t="s">
        <v>183</v>
      </c>
      <c r="B52" s="35" t="s">
        <v>11</v>
      </c>
      <c r="C52" s="36">
        <v>0</v>
      </c>
      <c r="D52" s="35">
        <v>6</v>
      </c>
      <c r="E52" s="35">
        <f>C52*D52*INDEX('Consumer Preference Profile'!$A$4:$U$4,MATCH(G52,'Consumer Preference Profile'!$A$1:$U$1))</f>
        <v>0</v>
      </c>
      <c r="F52" s="35">
        <f>C52*D52*INDEX('Consumer Preference Profile'!$A$7:$U$7,MATCH(G52,'Consumer Preference Profile'!$A$1:$U$1))</f>
        <v>0</v>
      </c>
      <c r="G52" s="35">
        <v>2004</v>
      </c>
      <c r="H52" s="35" t="s">
        <v>188</v>
      </c>
    </row>
    <row r="53" spans="1:8">
      <c r="A53" s="34" t="s">
        <v>13</v>
      </c>
      <c r="B53" s="35" t="s">
        <v>11</v>
      </c>
      <c r="C53" s="36">
        <v>25000</v>
      </c>
      <c r="D53" s="35">
        <v>6</v>
      </c>
      <c r="E53" s="35">
        <f>C53*D53*INDEX('Consumer Preference Profile'!$A$4:$U$4,MATCH(G53,'Consumer Preference Profile'!$A$1:$U$1))</f>
        <v>141.68086897599639</v>
      </c>
      <c r="F53" s="35">
        <f>C53*D53*INDEX('Consumer Preference Profile'!$A$7:$U$7,MATCH(G53,'Consumer Preference Profile'!$A$1:$U$1))</f>
        <v>414.00455158597356</v>
      </c>
      <c r="G53" s="35">
        <v>2004</v>
      </c>
      <c r="H53" s="35" t="s">
        <v>188</v>
      </c>
    </row>
    <row r="54" spans="1:8">
      <c r="A54" s="34" t="s">
        <v>182</v>
      </c>
      <c r="B54" s="35" t="s">
        <v>11</v>
      </c>
      <c r="C54" s="36">
        <v>0</v>
      </c>
      <c r="D54" s="35">
        <v>3</v>
      </c>
      <c r="E54" s="35">
        <f>C54*D54*INDEX('Consumer Preference Profile'!$A$4:$U$4,MATCH(G54,'Consumer Preference Profile'!$A$1:$U$1))</f>
        <v>0</v>
      </c>
      <c r="F54" s="35">
        <f>C54*D54*INDEX('Consumer Preference Profile'!$A$7:$U$7,MATCH(G54,'Consumer Preference Profile'!$A$1:$U$1))</f>
        <v>0</v>
      </c>
      <c r="G54" s="35">
        <v>2004</v>
      </c>
      <c r="H54" s="35" t="s">
        <v>188</v>
      </c>
    </row>
    <row r="55" spans="1:8">
      <c r="A55" s="34" t="s">
        <v>191</v>
      </c>
      <c r="B55" s="35" t="s">
        <v>11</v>
      </c>
      <c r="C55" s="36">
        <v>0</v>
      </c>
      <c r="D55" s="35">
        <v>6</v>
      </c>
      <c r="E55" s="35">
        <f>C55*D55*INDEX('Consumer Preference Profile'!$A$4:$U$4,MATCH(G55,'Consumer Preference Profile'!$A$1:$U$1))</f>
        <v>0</v>
      </c>
      <c r="F55" s="35">
        <f>C55*D55*INDEX('Consumer Preference Profile'!$A$7:$U$7,MATCH(G55,'Consumer Preference Profile'!$A$1:$U$1))</f>
        <v>0</v>
      </c>
      <c r="G55" s="35">
        <v>2004</v>
      </c>
      <c r="H55" s="35" t="s">
        <v>188</v>
      </c>
    </row>
    <row r="56" spans="1:8">
      <c r="A56" s="34" t="s">
        <v>179</v>
      </c>
      <c r="B56" s="35" t="s">
        <v>11</v>
      </c>
      <c r="C56" s="36">
        <v>0</v>
      </c>
      <c r="D56" s="35">
        <v>8</v>
      </c>
      <c r="E56" s="35">
        <f>C56*D56*INDEX('Consumer Preference Profile'!$A$4:$U$4,MATCH(G56,'Consumer Preference Profile'!$A$1:$U$1))</f>
        <v>0</v>
      </c>
      <c r="F56" s="35">
        <f>C56*D56*INDEX('Consumer Preference Profile'!$A$7:$U$7,MATCH(G56,'Consumer Preference Profile'!$A$1:$U$1))</f>
        <v>0</v>
      </c>
      <c r="G56" s="35">
        <v>2004</v>
      </c>
      <c r="H56" s="35" t="s">
        <v>188</v>
      </c>
    </row>
    <row r="57" spans="1:8">
      <c r="A57" s="34" t="s">
        <v>192</v>
      </c>
      <c r="B57" s="35" t="s">
        <v>11</v>
      </c>
      <c r="C57" s="36">
        <v>0</v>
      </c>
      <c r="D57" s="35">
        <v>4</v>
      </c>
      <c r="E57" s="35">
        <f>C57*D57*INDEX('Consumer Preference Profile'!$A$4:$U$4,MATCH(G57,'Consumer Preference Profile'!$A$1:$U$1))</f>
        <v>0</v>
      </c>
      <c r="F57" s="35">
        <f>C57*D57*INDEX('Consumer Preference Profile'!$A$7:$U$7,MATCH(G57,'Consumer Preference Profile'!$A$1:$U$1))</f>
        <v>0</v>
      </c>
      <c r="G57" s="35">
        <v>2004</v>
      </c>
      <c r="H57" s="35" t="s">
        <v>188</v>
      </c>
    </row>
    <row r="58" spans="1:8">
      <c r="A58" s="34" t="s">
        <v>193</v>
      </c>
      <c r="B58" s="35" t="s">
        <v>11</v>
      </c>
      <c r="C58" s="36">
        <v>0</v>
      </c>
      <c r="D58" s="35">
        <v>4</v>
      </c>
      <c r="E58" s="35">
        <f>C58*D58*INDEX('Consumer Preference Profile'!$A$4:$U$4,MATCH(G58,'Consumer Preference Profile'!$A$1:$U$1))</f>
        <v>0</v>
      </c>
      <c r="F58" s="35">
        <f>C58*D58*INDEX('Consumer Preference Profile'!$A$7:$U$7,MATCH(G58,'Consumer Preference Profile'!$A$1:$U$1))</f>
        <v>0</v>
      </c>
      <c r="G58" s="35">
        <v>2004</v>
      </c>
      <c r="H58" s="35" t="s">
        <v>188</v>
      </c>
    </row>
    <row r="59" spans="1:8">
      <c r="A59" s="34" t="s">
        <v>14</v>
      </c>
      <c r="B59" s="35" t="s">
        <v>11</v>
      </c>
      <c r="C59" s="35">
        <v>1845</v>
      </c>
      <c r="D59" s="35">
        <v>18</v>
      </c>
      <c r="E59" s="35">
        <f>C59*D59*INDEX('Consumer Preference Profile'!$A$4:$U$4,MATCH(G59,'Consumer Preference Profile'!$A$1:$U$1))</f>
        <v>31.3681443912856</v>
      </c>
      <c r="F59" s="35">
        <f>C59*D59*INDEX('Consumer Preference Profile'!$A$7:$U$7,MATCH(G59,'Consumer Preference Profile'!$A$1:$U$1))</f>
        <v>91.660607721134539</v>
      </c>
      <c r="G59" s="35">
        <v>2004</v>
      </c>
      <c r="H59" s="35" t="s">
        <v>188</v>
      </c>
    </row>
    <row r="60" spans="1:8">
      <c r="A60" s="34" t="s">
        <v>15</v>
      </c>
      <c r="B60" s="35" t="s">
        <v>11</v>
      </c>
      <c r="C60" s="36">
        <v>4800</v>
      </c>
      <c r="D60" s="35">
        <v>18</v>
      </c>
      <c r="E60" s="35">
        <f>C60*D60*INDEX('Consumer Preference Profile'!$A$4:$U$4,MATCH(G60,'Consumer Preference Profile'!$A$1:$U$1))</f>
        <v>81.608180530173925</v>
      </c>
      <c r="F60" s="35">
        <f>C60*D60*INDEX('Consumer Preference Profile'!$A$7:$U$7,MATCH(G60,'Consumer Preference Profile'!$A$1:$U$1))</f>
        <v>238.46662171352077</v>
      </c>
      <c r="G60" s="35">
        <v>2004</v>
      </c>
      <c r="H60" s="35" t="s">
        <v>188</v>
      </c>
    </row>
    <row r="61" spans="1:8">
      <c r="A61" s="34" t="s">
        <v>22</v>
      </c>
      <c r="B61" s="35" t="s">
        <v>11</v>
      </c>
      <c r="C61" s="36">
        <v>5734</v>
      </c>
      <c r="D61" s="35">
        <v>8</v>
      </c>
      <c r="E61" s="35">
        <f>C61*D61*INDEX('Consumer Preference Profile'!$A$4:$U$4,MATCH(G61,'Consumer Preference Profile'!$A$1:$U$1))</f>
        <v>43.327898811112711</v>
      </c>
      <c r="F61" s="35">
        <f>C61*D61*INDEX('Consumer Preference Profile'!$A$7:$U$7,MATCH(G61,'Consumer Preference Profile'!$A$1:$U$1))</f>
        <v>126.60811193567852</v>
      </c>
      <c r="G61" s="35">
        <v>2004</v>
      </c>
      <c r="H61" s="35" t="s">
        <v>188</v>
      </c>
    </row>
    <row r="62" spans="1:8">
      <c r="A62" s="34" t="s">
        <v>23</v>
      </c>
      <c r="B62" s="35" t="s">
        <v>11</v>
      </c>
      <c r="C62" s="36">
        <v>43000</v>
      </c>
      <c r="D62" s="35">
        <v>12</v>
      </c>
      <c r="E62" s="35">
        <f>C62*D62*INDEX('Consumer Preference Profile'!$A$4:$U$4,MATCH(G62,'Consumer Preference Profile'!$A$1:$U$1))</f>
        <v>487.38218927742759</v>
      </c>
      <c r="F62" s="35">
        <f>C62*D62*INDEX('Consumer Preference Profile'!$A$7:$U$7,MATCH(G62,'Consumer Preference Profile'!$A$1:$U$1))</f>
        <v>1424.1756574557489</v>
      </c>
      <c r="G62" s="35">
        <v>2004</v>
      </c>
      <c r="H62" s="35" t="s">
        <v>188</v>
      </c>
    </row>
    <row r="63" spans="1:8">
      <c r="A63" s="34" t="s">
        <v>24</v>
      </c>
      <c r="B63" s="35" t="s">
        <v>11</v>
      </c>
      <c r="C63" s="36">
        <v>46500</v>
      </c>
      <c r="D63" s="35">
        <v>12</v>
      </c>
      <c r="E63" s="35">
        <f>C63*D63*INDEX('Consumer Preference Profile'!$A$4:$U$4,MATCH(G63,'Consumer Preference Profile'!$A$1:$U$1))</f>
        <v>527.05283259070654</v>
      </c>
      <c r="F63" s="35">
        <f>C63*D63*INDEX('Consumer Preference Profile'!$A$7:$U$7,MATCH(G63,'Consumer Preference Profile'!$A$1:$U$1))</f>
        <v>1540.0969318998216</v>
      </c>
      <c r="G63" s="35">
        <v>2004</v>
      </c>
      <c r="H63" s="35" t="s">
        <v>188</v>
      </c>
    </row>
    <row r="64" spans="1:8">
      <c r="A64" s="34" t="s">
        <v>180</v>
      </c>
      <c r="B64" s="35" t="s">
        <v>11</v>
      </c>
      <c r="C64" s="36">
        <v>8677</v>
      </c>
      <c r="D64" s="35">
        <v>24</v>
      </c>
      <c r="E64" s="35">
        <f>C64*D64*INDEX('Consumer Preference Profile'!$A$4:$U$4,MATCH(G64,'Consumer Preference Profile'!$A$1:$U$1))</f>
        <v>196.69838401675531</v>
      </c>
      <c r="F64" s="35">
        <f>C64*D64*INDEX('Consumer Preference Profile'!$A$7:$U$7,MATCH(G64,'Consumer Preference Profile'!$A$1:$U$1))</f>
        <v>543.12875051169169</v>
      </c>
      <c r="G64" s="35">
        <v>2005</v>
      </c>
      <c r="H64" s="35" t="s">
        <v>194</v>
      </c>
    </row>
    <row r="65" spans="1:8">
      <c r="A65" s="34" t="s">
        <v>120</v>
      </c>
      <c r="B65" s="35" t="s">
        <v>11</v>
      </c>
      <c r="C65" s="36">
        <v>51502</v>
      </c>
      <c r="D65" s="35">
        <v>24</v>
      </c>
      <c r="E65" s="35">
        <f>C65*D65*INDEX('Consumer Preference Profile'!$A$4:$U$4,MATCH(G65,'Consumer Preference Profile'!$A$1:$U$1))</f>
        <v>1167.4956982402825</v>
      </c>
      <c r="F65" s="35">
        <f>C65*D65*INDEX('Consumer Preference Profile'!$A$7:$U$7,MATCH(G65,'Consumer Preference Profile'!$A$1:$U$1))</f>
        <v>3223.719823539604</v>
      </c>
      <c r="G65" s="35">
        <v>2005</v>
      </c>
      <c r="H65" s="35" t="s">
        <v>194</v>
      </c>
    </row>
    <row r="66" spans="1:8">
      <c r="A66" s="34" t="s">
        <v>121</v>
      </c>
      <c r="B66" s="35" t="s">
        <v>11</v>
      </c>
      <c r="C66" s="38">
        <v>45361</v>
      </c>
      <c r="D66" s="35">
        <v>16</v>
      </c>
      <c r="E66" s="35">
        <f>C66*D66*INDEX('Consumer Preference Profile'!$A$4:$U$4,MATCH(G66,'Consumer Preference Profile'!$A$1:$U$1))</f>
        <v>685.52382907948504</v>
      </c>
      <c r="F66" s="35">
        <f>C66*D66*INDEX('Consumer Preference Profile'!$A$7:$U$7,MATCH(G66,'Consumer Preference Profile'!$A$1:$U$1))</f>
        <v>1892.8864240298756</v>
      </c>
      <c r="G66" s="35">
        <v>2005</v>
      </c>
      <c r="H66" s="35" t="s">
        <v>194</v>
      </c>
    </row>
    <row r="67" spans="1:8">
      <c r="A67" s="34" t="s">
        <v>183</v>
      </c>
      <c r="B67" s="35" t="s">
        <v>11</v>
      </c>
      <c r="C67" s="35">
        <v>0</v>
      </c>
      <c r="D67" s="35">
        <v>6</v>
      </c>
      <c r="E67" s="35">
        <f>C67*D67*INDEX('Consumer Preference Profile'!$A$4:$U$4,MATCH(G67,'Consumer Preference Profile'!$A$1:$U$1))</f>
        <v>0</v>
      </c>
      <c r="F67" s="35">
        <f>C67*D67*INDEX('Consumer Preference Profile'!$A$7:$U$7,MATCH(G67,'Consumer Preference Profile'!$A$1:$U$1))</f>
        <v>0</v>
      </c>
      <c r="G67" s="35">
        <v>2005</v>
      </c>
      <c r="H67" s="35" t="s">
        <v>194</v>
      </c>
    </row>
    <row r="68" spans="1:8">
      <c r="A68" s="34" t="s">
        <v>191</v>
      </c>
      <c r="B68" s="35" t="s">
        <v>11</v>
      </c>
      <c r="C68" s="35">
        <v>0</v>
      </c>
      <c r="D68" s="35">
        <v>8</v>
      </c>
      <c r="E68" s="35">
        <f>C68*D68*INDEX('Consumer Preference Profile'!$A$4:$U$4,MATCH(G68,'Consumer Preference Profile'!$A$1:$U$1))</f>
        <v>0</v>
      </c>
      <c r="F68" s="35">
        <f>C68*D68*INDEX('Consumer Preference Profile'!$A$7:$U$7,MATCH(G68,'Consumer Preference Profile'!$A$1:$U$1))</f>
        <v>0</v>
      </c>
      <c r="G68" s="35">
        <v>2005</v>
      </c>
      <c r="H68" s="35" t="s">
        <v>194</v>
      </c>
    </row>
    <row r="69" spans="1:8">
      <c r="A69" s="34" t="s">
        <v>192</v>
      </c>
      <c r="B69" s="35" t="s">
        <v>11</v>
      </c>
      <c r="C69" s="35">
        <v>0</v>
      </c>
      <c r="D69" s="35">
        <v>12</v>
      </c>
      <c r="E69" s="35">
        <f>C69*D69*INDEX('Consumer Preference Profile'!$A$4:$U$4,MATCH(G69,'Consumer Preference Profile'!$A$1:$U$1))</f>
        <v>0</v>
      </c>
      <c r="F69" s="35">
        <f>C69*D69*INDEX('Consumer Preference Profile'!$A$7:$U$7,MATCH(G69,'Consumer Preference Profile'!$A$1:$U$1))</f>
        <v>0</v>
      </c>
      <c r="G69" s="35">
        <v>2005</v>
      </c>
      <c r="H69" s="35" t="s">
        <v>194</v>
      </c>
    </row>
    <row r="70" spans="1:8">
      <c r="A70" s="34" t="s">
        <v>193</v>
      </c>
      <c r="B70" s="35" t="s">
        <v>11</v>
      </c>
      <c r="C70" s="35">
        <v>0</v>
      </c>
      <c r="D70" s="35">
        <v>6</v>
      </c>
      <c r="E70" s="35">
        <f>C70*D70*INDEX('Consumer Preference Profile'!$A$4:$U$4,MATCH(G70,'Consumer Preference Profile'!$A$1:$U$1))</f>
        <v>0</v>
      </c>
      <c r="F70" s="35">
        <f>C70*D70*INDEX('Consumer Preference Profile'!$A$7:$U$7,MATCH(G70,'Consumer Preference Profile'!$A$1:$U$1))</f>
        <v>0</v>
      </c>
      <c r="G70" s="35">
        <v>2005</v>
      </c>
      <c r="H70" s="35" t="s">
        <v>194</v>
      </c>
    </row>
    <row r="71" spans="1:8">
      <c r="A71" s="34" t="s">
        <v>14</v>
      </c>
      <c r="B71" s="35" t="s">
        <v>11</v>
      </c>
      <c r="C71" s="35">
        <v>1845</v>
      </c>
      <c r="D71" s="35">
        <v>9</v>
      </c>
      <c r="E71" s="35">
        <f>C71*D71*INDEX('Consumer Preference Profile'!$A$4:$U$4,MATCH(G71,'Consumer Preference Profile'!$A$1:$U$1))</f>
        <v>15.6840721956428</v>
      </c>
      <c r="F71" s="35">
        <f>C71*D71*INDEX('Consumer Preference Profile'!$A$7:$U$7,MATCH(G71,'Consumer Preference Profile'!$A$1:$U$1))</f>
        <v>43.307272589636582</v>
      </c>
      <c r="G71" s="35">
        <v>2005</v>
      </c>
      <c r="H71" s="35" t="s">
        <v>194</v>
      </c>
    </row>
    <row r="72" spans="1:8">
      <c r="A72" s="34" t="s">
        <v>15</v>
      </c>
      <c r="B72" s="35" t="s">
        <v>11</v>
      </c>
      <c r="C72" s="36">
        <v>4800</v>
      </c>
      <c r="D72" s="35">
        <v>12</v>
      </c>
      <c r="E72" s="35">
        <f>C72*D72*INDEX('Consumer Preference Profile'!$A$4:$U$4,MATCH(G72,'Consumer Preference Profile'!$A$1:$U$1))</f>
        <v>54.405453686782614</v>
      </c>
      <c r="F72" s="35">
        <f>C72*D72*INDEX('Consumer Preference Profile'!$A$7:$U$7,MATCH(G72,'Consumer Preference Profile'!$A$1:$U$1))</f>
        <v>150.22576941662555</v>
      </c>
      <c r="G72" s="35">
        <v>2005</v>
      </c>
      <c r="H72" s="35" t="s">
        <v>194</v>
      </c>
    </row>
    <row r="73" spans="1:8">
      <c r="A73" s="34" t="s">
        <v>22</v>
      </c>
      <c r="B73" s="35" t="s">
        <v>11</v>
      </c>
      <c r="C73" s="36">
        <v>5734</v>
      </c>
      <c r="D73" s="35">
        <v>4</v>
      </c>
      <c r="E73" s="35">
        <f>C73*D73*INDEX('Consumer Preference Profile'!$A$4:$U$4,MATCH(G73,'Consumer Preference Profile'!$A$1:$U$1))</f>
        <v>21.663949405556355</v>
      </c>
      <c r="F73" s="35">
        <f>C73*D73*INDEX('Consumer Preference Profile'!$A$7:$U$7,MATCH(G73,'Consumer Preference Profile'!$A$1:$U$1))</f>
        <v>59.819066794092429</v>
      </c>
      <c r="G73" s="35">
        <v>2005</v>
      </c>
      <c r="H73" s="35" t="s">
        <v>194</v>
      </c>
    </row>
    <row r="74" spans="1:8">
      <c r="A74" s="34" t="s">
        <v>23</v>
      </c>
      <c r="B74" s="35" t="s">
        <v>11</v>
      </c>
      <c r="C74" s="36">
        <v>43000</v>
      </c>
      <c r="D74" s="35">
        <v>8</v>
      </c>
      <c r="E74" s="35">
        <f>C74*D74*INDEX('Consumer Preference Profile'!$A$4:$U$4,MATCH(G74,'Consumer Preference Profile'!$A$1:$U$1))</f>
        <v>324.92145951828508</v>
      </c>
      <c r="F74" s="35">
        <f>C74*D74*INDEX('Consumer Preference Profile'!$A$7:$U$7,MATCH(G74,'Consumer Preference Profile'!$A$1:$U$1))</f>
        <v>897.18167846040262</v>
      </c>
      <c r="G74" s="35">
        <v>2005</v>
      </c>
      <c r="H74" s="35" t="s">
        <v>194</v>
      </c>
    </row>
    <row r="75" spans="1:8">
      <c r="A75" s="34" t="s">
        <v>24</v>
      </c>
      <c r="B75" s="35" t="s">
        <v>11</v>
      </c>
      <c r="C75" s="36">
        <v>46500</v>
      </c>
      <c r="D75" s="35">
        <v>6</v>
      </c>
      <c r="E75" s="35">
        <f>C75*D75*INDEX('Consumer Preference Profile'!$A$4:$U$4,MATCH(G75,'Consumer Preference Profile'!$A$1:$U$1))</f>
        <v>263.52641629535327</v>
      </c>
      <c r="F75" s="35">
        <f>C75*D75*INDEX('Consumer Preference Profile'!$A$7:$U$7,MATCH(G75,'Consumer Preference Profile'!$A$1:$U$1))</f>
        <v>727.65607061178002</v>
      </c>
      <c r="G75" s="35">
        <v>2005</v>
      </c>
      <c r="H75" s="35" t="s">
        <v>194</v>
      </c>
    </row>
    <row r="76" spans="1:8">
      <c r="A76" s="34" t="s">
        <v>195</v>
      </c>
      <c r="B76" s="35" t="s">
        <v>11</v>
      </c>
      <c r="C76" s="36">
        <v>65295</v>
      </c>
      <c r="D76" s="35">
        <v>1</v>
      </c>
      <c r="E76" s="35">
        <f>C76*D76*INDEX('Consumer Preference Profile'!$A$4:$U$4,MATCH(G76,'Consumer Preference Profile'!$A$1:$U$1))</f>
        <v>60.27682445700507</v>
      </c>
      <c r="F76" s="35">
        <f>C76*D76*INDEX('Consumer Preference Profile'!$A$7:$U$7,MATCH(G76,'Consumer Preference Profile'!$A$1:$U$1))</f>
        <v>170.29499329962786</v>
      </c>
      <c r="G76" s="35">
        <v>2009</v>
      </c>
      <c r="H76" s="35" t="s">
        <v>87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workbookViewId="0">
      <selection activeCell="E1" sqref="E1:E1048576"/>
    </sheetView>
  </sheetViews>
  <sheetFormatPr defaultRowHeight="15"/>
  <cols>
    <col min="1" max="1" width="41" bestFit="1" customWidth="1"/>
    <col min="2" max="2" width="10" bestFit="1" customWidth="1"/>
    <col min="6" max="6" width="22.85546875" bestFit="1" customWidth="1"/>
    <col min="7" max="7" width="22.7109375" bestFit="1" customWidth="1"/>
  </cols>
  <sheetData>
    <row r="1" spans="1:8">
      <c r="A1" t="s">
        <v>5</v>
      </c>
      <c r="B1" t="s">
        <v>26</v>
      </c>
      <c r="C1" t="s">
        <v>9</v>
      </c>
      <c r="D1" t="s">
        <v>158</v>
      </c>
      <c r="E1" t="s">
        <v>237</v>
      </c>
      <c r="G1" t="s">
        <v>159</v>
      </c>
      <c r="H1">
        <v>0.5</v>
      </c>
    </row>
    <row r="2" spans="1:8">
      <c r="A2" t="s">
        <v>27</v>
      </c>
      <c r="B2" s="1">
        <v>464000</v>
      </c>
      <c r="C2">
        <v>2011</v>
      </c>
      <c r="D2">
        <f>B2*$H$1</f>
        <v>232000</v>
      </c>
      <c r="E2">
        <f>D2*INDEX('Consumer Preference Profile'!$A$7:$U$7,MATCH(C2,'Consumer Preference Profile'!$A$1:$U$1))</f>
        <v>605.07601570585291</v>
      </c>
      <c r="F2" t="s">
        <v>40</v>
      </c>
    </row>
    <row r="3" spans="1:8">
      <c r="A3" t="s">
        <v>28</v>
      </c>
      <c r="B3" s="1">
        <v>581200</v>
      </c>
      <c r="C3">
        <v>2011</v>
      </c>
      <c r="D3">
        <f t="shared" ref="D3:D34" si="0">B3*$H$1</f>
        <v>290600</v>
      </c>
      <c r="E3">
        <f>D3*INDEX('Consumer Preference Profile'!$A$7:$U$7,MATCH(C3,'Consumer Preference Profile'!$A$1:$U$1))</f>
        <v>757.90987139707272</v>
      </c>
      <c r="F3" t="s">
        <v>40</v>
      </c>
    </row>
    <row r="4" spans="1:8">
      <c r="A4" t="s">
        <v>29</v>
      </c>
      <c r="B4">
        <f>5000+8285</f>
        <v>13285</v>
      </c>
      <c r="C4">
        <v>2011</v>
      </c>
      <c r="D4">
        <f t="shared" si="0"/>
        <v>6642.5</v>
      </c>
      <c r="E4">
        <f>D4*INDEX('Consumer Preference Profile'!$A$7:$U$7,MATCH(C4,'Consumer Preference Profile'!$A$1:$U$1))</f>
        <v>17.324213078991932</v>
      </c>
      <c r="F4" t="s">
        <v>40</v>
      </c>
    </row>
    <row r="5" spans="1:8">
      <c r="A5" t="s">
        <v>30</v>
      </c>
      <c r="B5" s="1">
        <v>110000</v>
      </c>
      <c r="C5">
        <v>2011</v>
      </c>
      <c r="D5">
        <f t="shared" si="0"/>
        <v>55000</v>
      </c>
      <c r="E5">
        <f>D5*INDEX('Consumer Preference Profile'!$A$7:$U$7,MATCH(C5,'Consumer Preference Profile'!$A$1:$U$1))</f>
        <v>143.44474510268066</v>
      </c>
      <c r="F5" t="s">
        <v>40</v>
      </c>
    </row>
    <row r="6" spans="1:8">
      <c r="A6" t="s">
        <v>31</v>
      </c>
      <c r="B6" s="1">
        <v>238000</v>
      </c>
      <c r="C6">
        <v>2011</v>
      </c>
      <c r="D6">
        <f t="shared" si="0"/>
        <v>119000</v>
      </c>
      <c r="E6">
        <f>D6*INDEX('Consumer Preference Profile'!$A$7:$U$7,MATCH(C6,'Consumer Preference Profile'!$A$1:$U$1))</f>
        <v>310.36226667670905</v>
      </c>
      <c r="F6" t="s">
        <v>40</v>
      </c>
    </row>
    <row r="7" spans="1:8">
      <c r="A7" t="s">
        <v>32</v>
      </c>
      <c r="B7" s="1">
        <v>275000</v>
      </c>
      <c r="C7">
        <v>2011</v>
      </c>
      <c r="D7">
        <f t="shared" si="0"/>
        <v>137500</v>
      </c>
      <c r="E7">
        <f>D7*INDEX('Consumer Preference Profile'!$A$7:$U$7,MATCH(C7,'Consumer Preference Profile'!$A$1:$U$1))</f>
        <v>358.61186275670161</v>
      </c>
      <c r="F7" t="s">
        <v>40</v>
      </c>
    </row>
    <row r="8" spans="1:8">
      <c r="A8" t="s">
        <v>33</v>
      </c>
      <c r="B8" s="1">
        <v>1272726</v>
      </c>
      <c r="C8">
        <v>2011</v>
      </c>
      <c r="D8">
        <f t="shared" si="0"/>
        <v>636363</v>
      </c>
      <c r="E8">
        <f>D8*INDEX('Consumer Preference Profile'!$A$7:$U$7,MATCH(C8,'Consumer Preference Profile'!$A$1:$U$1))</f>
        <v>1659.6896059595849</v>
      </c>
      <c r="F8" t="s">
        <v>40</v>
      </c>
    </row>
    <row r="9" spans="1:8">
      <c r="A9" t="s">
        <v>34</v>
      </c>
      <c r="B9">
        <f>3*(2544+3266)</f>
        <v>17430</v>
      </c>
      <c r="C9">
        <v>2011</v>
      </c>
      <c r="D9">
        <f t="shared" si="0"/>
        <v>8715</v>
      </c>
      <c r="E9">
        <f>D9*INDEX('Consumer Preference Profile'!$A$7:$U$7,MATCH(C9,'Consumer Preference Profile'!$A$1:$U$1))</f>
        <v>22.729471883088397</v>
      </c>
      <c r="F9" t="s">
        <v>40</v>
      </c>
    </row>
    <row r="10" spans="1:8">
      <c r="A10" t="s">
        <v>35</v>
      </c>
      <c r="B10" s="1">
        <v>52719</v>
      </c>
      <c r="C10">
        <v>2011</v>
      </c>
      <c r="D10">
        <f t="shared" si="0"/>
        <v>26359.5</v>
      </c>
      <c r="E10">
        <f>D10*INDEX('Consumer Preference Profile'!$A$7:$U$7,MATCH(C10,'Consumer Preference Profile'!$A$1:$U$1))</f>
        <v>68.747850155165651</v>
      </c>
      <c r="F10" t="s">
        <v>40</v>
      </c>
    </row>
    <row r="11" spans="1:8">
      <c r="A11" t="s">
        <v>36</v>
      </c>
      <c r="B11" s="1">
        <v>200000</v>
      </c>
      <c r="C11">
        <v>2011</v>
      </c>
      <c r="D11">
        <f t="shared" si="0"/>
        <v>100000</v>
      </c>
      <c r="E11">
        <f>D11*INDEX('Consumer Preference Profile'!$A$7:$U$7,MATCH(C11,'Consumer Preference Profile'!$A$1:$U$1))</f>
        <v>260.80862745941937</v>
      </c>
      <c r="F11" t="s">
        <v>40</v>
      </c>
    </row>
    <row r="12" spans="1:8">
      <c r="A12" t="s">
        <v>57</v>
      </c>
      <c r="B12" s="1">
        <v>389700</v>
      </c>
      <c r="C12">
        <v>2015</v>
      </c>
      <c r="D12">
        <f t="shared" si="0"/>
        <v>194850</v>
      </c>
      <c r="E12">
        <f>D12*INDEX('Consumer Preference Profile'!$A$7:$U$7,MATCH(C12,'Consumer Preference Profile'!$A$1:$U$1))</f>
        <v>513.78020714427203</v>
      </c>
      <c r="F12" t="s">
        <v>61</v>
      </c>
    </row>
    <row r="13" spans="1:8">
      <c r="A13" t="s">
        <v>58</v>
      </c>
      <c r="B13" s="1">
        <v>11000</v>
      </c>
      <c r="C13">
        <v>2015</v>
      </c>
      <c r="D13">
        <f t="shared" si="0"/>
        <v>5500</v>
      </c>
      <c r="E13">
        <f>D13*INDEX('Consumer Preference Profile'!$A$7:$U$7,MATCH(C13,'Consumer Preference Profile'!$A$1:$U$1))</f>
        <v>14.502392298144706</v>
      </c>
      <c r="F13" t="s">
        <v>61</v>
      </c>
    </row>
    <row r="14" spans="1:8" ht="15.75" thickBot="1">
      <c r="A14" t="s">
        <v>64</v>
      </c>
      <c r="B14">
        <f>108360+140310+124368</f>
        <v>373038</v>
      </c>
      <c r="C14">
        <v>2015</v>
      </c>
      <c r="D14">
        <f t="shared" si="0"/>
        <v>186519</v>
      </c>
      <c r="E14">
        <f>D14*INDEX('Consumer Preference Profile'!$A$7:$U$7,MATCH(C14,'Consumer Preference Profile'!$A$1:$U$1))</f>
        <v>491.81303801048227</v>
      </c>
      <c r="F14" t="s">
        <v>61</v>
      </c>
    </row>
    <row r="15" spans="1:8" ht="15" customHeight="1" thickBot="1">
      <c r="A15" t="s">
        <v>57</v>
      </c>
      <c r="B15" s="1">
        <v>529600</v>
      </c>
      <c r="C15">
        <v>2015</v>
      </c>
      <c r="D15">
        <f t="shared" si="0"/>
        <v>264800</v>
      </c>
      <c r="E15">
        <f>D15*INDEX('Consumer Preference Profile'!$A$7:$U$7,MATCH(C15,'Consumer Preference Profile'!$A$1:$U$1))</f>
        <v>698.22426919067607</v>
      </c>
      <c r="F15" s="2" t="s">
        <v>65</v>
      </c>
    </row>
    <row r="16" spans="1:8" ht="30.75" thickBot="1">
      <c r="A16" t="s">
        <v>58</v>
      </c>
      <c r="B16" s="1">
        <v>92500</v>
      </c>
      <c r="C16">
        <v>2015</v>
      </c>
      <c r="D16">
        <f t="shared" si="0"/>
        <v>46250</v>
      </c>
      <c r="E16">
        <f>D16*INDEX('Consumer Preference Profile'!$A$7:$U$7,MATCH(C16,'Consumer Preference Profile'!$A$1:$U$1))</f>
        <v>121.95193523439866</v>
      </c>
      <c r="F16" s="2" t="s">
        <v>65</v>
      </c>
    </row>
    <row r="17" spans="1:6">
      <c r="A17" t="s">
        <v>57</v>
      </c>
      <c r="B17" s="1">
        <v>215500</v>
      </c>
      <c r="C17">
        <v>2015</v>
      </c>
      <c r="D17">
        <f t="shared" si="0"/>
        <v>107750</v>
      </c>
      <c r="E17">
        <f>D17*INDEX('Consumer Preference Profile'!$A$7:$U$7,MATCH(C17,'Consumer Preference Profile'!$A$1:$U$1))</f>
        <v>284.11504911365307</v>
      </c>
      <c r="F17" t="s">
        <v>67</v>
      </c>
    </row>
    <row r="18" spans="1:6">
      <c r="A18" t="s">
        <v>58</v>
      </c>
      <c r="B18" s="1">
        <v>382400</v>
      </c>
      <c r="C18">
        <v>2015</v>
      </c>
      <c r="D18">
        <f t="shared" si="0"/>
        <v>191200</v>
      </c>
      <c r="E18">
        <f>D18*INDEX('Consumer Preference Profile'!$A$7:$U$7,MATCH(C18,'Consumer Preference Profile'!$A$1:$U$1))</f>
        <v>504.1558922555032</v>
      </c>
      <c r="F18" t="s">
        <v>67</v>
      </c>
    </row>
    <row r="19" spans="1:6">
      <c r="A19" t="s">
        <v>57</v>
      </c>
      <c r="B19" s="1">
        <v>793600</v>
      </c>
      <c r="C19">
        <v>2016</v>
      </c>
      <c r="D19">
        <f t="shared" si="0"/>
        <v>396800</v>
      </c>
      <c r="E19">
        <f>D19*INDEX('Consumer Preference Profile'!$A$7:$U$7,MATCH(C19,'Consumer Preference Profile'!$A$1:$U$1))</f>
        <v>1046.2816843461489</v>
      </c>
      <c r="F19" t="s">
        <v>70</v>
      </c>
    </row>
    <row r="20" spans="1:6">
      <c r="A20" t="s">
        <v>58</v>
      </c>
      <c r="B20" s="1">
        <v>4615000</v>
      </c>
      <c r="C20">
        <v>2016</v>
      </c>
      <c r="D20">
        <f t="shared" si="0"/>
        <v>2307500</v>
      </c>
      <c r="E20">
        <f>D20*INDEX('Consumer Preference Profile'!$A$7:$U$7,MATCH(C20,'Consumer Preference Profile'!$A$1:$U$1))</f>
        <v>6084.4127687216196</v>
      </c>
      <c r="F20" t="s">
        <v>70</v>
      </c>
    </row>
    <row r="21" spans="1:6">
      <c r="A21" t="s">
        <v>57</v>
      </c>
      <c r="B21" s="1">
        <v>688200</v>
      </c>
      <c r="C21">
        <v>2016</v>
      </c>
      <c r="D21">
        <f t="shared" si="0"/>
        <v>344100</v>
      </c>
      <c r="E21">
        <f>D21*INDEX('Consumer Preference Profile'!$A$7:$U$7,MATCH(C21,'Consumer Preference Profile'!$A$1:$U$1))</f>
        <v>907.32239814392608</v>
      </c>
      <c r="F21" t="s">
        <v>70</v>
      </c>
    </row>
    <row r="22" spans="1:6">
      <c r="A22" t="s">
        <v>58</v>
      </c>
      <c r="B22" s="1">
        <v>3860500</v>
      </c>
      <c r="C22">
        <v>2016</v>
      </c>
      <c r="D22">
        <f t="shared" si="0"/>
        <v>1930250</v>
      </c>
      <c r="E22">
        <f>D22*INDEX('Consumer Preference Profile'!$A$7:$U$7,MATCH(C22,'Consumer Preference Profile'!$A$1:$U$1))</f>
        <v>5089.6804969988762</v>
      </c>
      <c r="F22" t="s">
        <v>70</v>
      </c>
    </row>
    <row r="23" spans="1:6">
      <c r="A23" t="s">
        <v>72</v>
      </c>
      <c r="B23" s="1">
        <v>4090</v>
      </c>
      <c r="C23">
        <v>2011</v>
      </c>
      <c r="D23">
        <f t="shared" si="0"/>
        <v>2045</v>
      </c>
      <c r="E23">
        <f>D23*INDEX('Consumer Preference Profile'!$A$7:$U$7,MATCH(C23,'Consumer Preference Profile'!$A$1:$U$1))</f>
        <v>5.3335364315451264</v>
      </c>
      <c r="F23" t="s">
        <v>73</v>
      </c>
    </row>
    <row r="24" spans="1:6">
      <c r="A24" t="s">
        <v>142</v>
      </c>
      <c r="B24" s="1">
        <v>149580</v>
      </c>
      <c r="C24">
        <v>2015</v>
      </c>
      <c r="D24">
        <f t="shared" si="0"/>
        <v>74790</v>
      </c>
      <c r="E24">
        <f>D24*INDEX('Consumer Preference Profile'!$A$7:$U$7,MATCH(C24,'Consumer Preference Profile'!$A$1:$U$1))</f>
        <v>197.20616726877137</v>
      </c>
      <c r="F24" t="s">
        <v>136</v>
      </c>
    </row>
    <row r="25" spans="1:6">
      <c r="A25" t="s">
        <v>137</v>
      </c>
      <c r="B25" s="1">
        <v>13295</v>
      </c>
      <c r="C25">
        <v>2015</v>
      </c>
      <c r="D25">
        <f t="shared" si="0"/>
        <v>6647.5</v>
      </c>
      <c r="E25">
        <f>D25*INDEX('Consumer Preference Profile'!$A$7:$U$7,MATCH(C25,'Consumer Preference Profile'!$A$1:$U$1))</f>
        <v>17.528118691257625</v>
      </c>
      <c r="F25" t="s">
        <v>136</v>
      </c>
    </row>
    <row r="26" spans="1:6">
      <c r="A26" t="s">
        <v>138</v>
      </c>
      <c r="B26">
        <f>586997+440</f>
        <v>587437</v>
      </c>
      <c r="C26">
        <v>2015</v>
      </c>
      <c r="D26">
        <f t="shared" si="0"/>
        <v>293718.5</v>
      </c>
      <c r="E26">
        <f>D26*INDEX('Consumer Preference Profile'!$A$7:$U$7,MATCH(C26,'Consumer Preference Profile'!$A$1:$U$1))</f>
        <v>774.47652949502105</v>
      </c>
      <c r="F26" t="s">
        <v>136</v>
      </c>
    </row>
    <row r="27" spans="1:6">
      <c r="A27" t="s">
        <v>139</v>
      </c>
      <c r="B27">
        <f>7498638+370007</f>
        <v>7868645</v>
      </c>
      <c r="C27">
        <v>2015</v>
      </c>
      <c r="D27">
        <f t="shared" si="0"/>
        <v>3934322.5</v>
      </c>
      <c r="E27">
        <f>D27*INDEX('Consumer Preference Profile'!$A$7:$U$7,MATCH(C27,'Consumer Preference Profile'!$A$1:$U$1))</f>
        <v>10374.01605862135</v>
      </c>
      <c r="F27" t="s">
        <v>136</v>
      </c>
    </row>
    <row r="28" spans="1:6">
      <c r="A28" t="s">
        <v>140</v>
      </c>
      <c r="B28" s="1">
        <v>23862031</v>
      </c>
      <c r="C28">
        <v>2015</v>
      </c>
      <c r="D28">
        <f t="shared" si="0"/>
        <v>11931015.5</v>
      </c>
      <c r="E28">
        <f>D28*INDEX('Consumer Preference Profile'!$A$7:$U$7,MATCH(C28,'Consumer Preference Profile'!$A$1:$U$1))</f>
        <v>31459.684962953655</v>
      </c>
      <c r="F28" t="s">
        <v>136</v>
      </c>
    </row>
    <row r="29" spans="1:6">
      <c r="A29" t="s">
        <v>142</v>
      </c>
      <c r="B29" s="1">
        <v>181000</v>
      </c>
      <c r="C29">
        <v>2016</v>
      </c>
      <c r="D29">
        <f t="shared" si="0"/>
        <v>90500</v>
      </c>
      <c r="E29">
        <f>D29*INDEX('Consumer Preference Profile'!$A$7:$U$7,MATCH(C29,'Consumer Preference Profile'!$A$1:$U$1))</f>
        <v>238.63027326947199</v>
      </c>
      <c r="F29" t="s">
        <v>143</v>
      </c>
    </row>
    <row r="30" spans="1:6">
      <c r="A30" t="s">
        <v>144</v>
      </c>
      <c r="B30" s="1">
        <v>1923243</v>
      </c>
      <c r="C30">
        <v>2016</v>
      </c>
      <c r="D30">
        <f t="shared" si="0"/>
        <v>961621.5</v>
      </c>
      <c r="E30">
        <f>D30*INDEX('Consumer Preference Profile'!$A$7:$U$7,MATCH(C30,'Consumer Preference Profile'!$A$1:$U$1))</f>
        <v>2535.60222460552</v>
      </c>
      <c r="F30" t="s">
        <v>143</v>
      </c>
    </row>
    <row r="31" spans="1:6">
      <c r="A31" t="s">
        <v>145</v>
      </c>
      <c r="B31" s="1">
        <v>4009954</v>
      </c>
      <c r="C31">
        <v>2016</v>
      </c>
      <c r="D31">
        <f t="shared" si="0"/>
        <v>2004977</v>
      </c>
      <c r="E31">
        <f>D31*INDEX('Consumer Preference Profile'!$A$7:$U$7,MATCH(C31,'Consumer Preference Profile'!$A$1:$U$1))</f>
        <v>5286.7205459558691</v>
      </c>
      <c r="F31" t="s">
        <v>143</v>
      </c>
    </row>
    <row r="32" spans="1:6">
      <c r="A32" t="s">
        <v>146</v>
      </c>
      <c r="B32" s="1">
        <v>9337246</v>
      </c>
      <c r="C32">
        <v>2016</v>
      </c>
      <c r="D32">
        <f t="shared" si="0"/>
        <v>4668623</v>
      </c>
      <c r="E32">
        <f>D32*INDEX('Consumer Preference Profile'!$A$7:$U$7,MATCH(C32,'Consumer Preference Profile'!$A$1:$U$1))</f>
        <v>12310.21858875295</v>
      </c>
      <c r="F32" t="s">
        <v>143</v>
      </c>
    </row>
    <row r="33" spans="1:6">
      <c r="A33" t="s">
        <v>147</v>
      </c>
      <c r="B33" s="1">
        <v>9100000</v>
      </c>
      <c r="C33">
        <v>2016</v>
      </c>
      <c r="D33">
        <f t="shared" si="0"/>
        <v>4550000</v>
      </c>
      <c r="E33">
        <f>D33*INDEX('Consumer Preference Profile'!$A$7:$U$7,MATCH(C33,'Consumer Preference Profile'!$A$1:$U$1))</f>
        <v>11997.433628465165</v>
      </c>
      <c r="F33" t="s">
        <v>143</v>
      </c>
    </row>
    <row r="34" spans="1:6">
      <c r="A34" t="s">
        <v>148</v>
      </c>
      <c r="B34" s="1">
        <v>1043166</v>
      </c>
      <c r="C34">
        <v>2016</v>
      </c>
      <c r="D34">
        <f t="shared" si="0"/>
        <v>521583</v>
      </c>
      <c r="E34">
        <f>D34*INDEX('Consumer Preference Profile'!$A$7:$U$7,MATCH(C34,'Consumer Preference Profile'!$A$1:$U$1))</f>
        <v>1375.3093240078563</v>
      </c>
      <c r="F34" t="s">
        <v>143</v>
      </c>
    </row>
    <row r="35" spans="1:6" ht="16.5">
      <c r="B35" s="17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H7" sqref="H7"/>
    </sheetView>
  </sheetViews>
  <sheetFormatPr defaultRowHeight="15"/>
  <sheetData>
    <row r="1" spans="1:5" ht="48" thickBot="1">
      <c r="A1" s="9" t="s">
        <v>174</v>
      </c>
      <c r="B1" s="9" t="s">
        <v>153</v>
      </c>
      <c r="C1" s="9" t="s">
        <v>154</v>
      </c>
      <c r="D1" s="9" t="s">
        <v>175</v>
      </c>
    </row>
    <row r="2" spans="1:5" ht="63.75" thickBot="1">
      <c r="A2" s="10" t="s">
        <v>95</v>
      </c>
      <c r="B2" s="10" t="s">
        <v>41</v>
      </c>
      <c r="C2" s="11">
        <v>80444</v>
      </c>
      <c r="D2" s="10">
        <v>118</v>
      </c>
    </row>
    <row r="3" spans="1:5" ht="63.75" thickBot="1">
      <c r="A3" s="12" t="s">
        <v>88</v>
      </c>
      <c r="B3" s="12" t="s">
        <v>41</v>
      </c>
      <c r="C3" s="13">
        <v>4033</v>
      </c>
      <c r="D3" s="12">
        <v>9</v>
      </c>
    </row>
    <row r="4" spans="1:5" ht="63.75" thickBot="1">
      <c r="A4" s="14" t="s">
        <v>91</v>
      </c>
      <c r="B4" s="14" t="s">
        <v>176</v>
      </c>
      <c r="C4" s="15">
        <v>14756</v>
      </c>
      <c r="D4" s="14">
        <v>47</v>
      </c>
    </row>
    <row r="5" spans="1:5">
      <c r="C5" s="1">
        <f>SUM(C2:C4)</f>
        <v>99233</v>
      </c>
      <c r="D5">
        <f>SUM(D2:D4)</f>
        <v>174</v>
      </c>
      <c r="E5">
        <f>D5/C5</f>
        <v>1.7534489534731389E-3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C24" sqref="C24"/>
    </sheetView>
  </sheetViews>
  <sheetFormatPr defaultRowHeight="15"/>
  <cols>
    <col min="2" max="2" width="9" style="19"/>
    <col min="5" max="5" width="19.42578125" bestFit="1" customWidth="1"/>
  </cols>
  <sheetData>
    <row r="1" spans="1:8">
      <c r="A1" t="s">
        <v>3</v>
      </c>
      <c r="B1" s="19" t="s">
        <v>196</v>
      </c>
      <c r="D1" t="s">
        <v>225</v>
      </c>
      <c r="E1" t="s">
        <v>226</v>
      </c>
      <c r="F1" t="s">
        <v>197</v>
      </c>
      <c r="G1" t="s">
        <v>198</v>
      </c>
      <c r="H1" t="s">
        <v>199</v>
      </c>
    </row>
    <row r="2" spans="1:8">
      <c r="A2" s="18">
        <v>39083</v>
      </c>
      <c r="B2" s="19">
        <v>0</v>
      </c>
      <c r="D2">
        <f>EXP('Model estimates'!$B$17+'Model estimates'!$B$18*'Webtraffic predictions'!B2)</f>
        <v>20437.905886238059</v>
      </c>
      <c r="E2">
        <f>MIN(D2,MAX(C24))</f>
        <v>18207</v>
      </c>
      <c r="F2" s="19">
        <v>2</v>
      </c>
      <c r="G2">
        <v>7775</v>
      </c>
      <c r="H2">
        <f>LN(G2)</f>
        <v>8.958668737047434</v>
      </c>
    </row>
    <row r="3" spans="1:8">
      <c r="A3" s="18">
        <v>39114</v>
      </c>
      <c r="B3" s="19">
        <v>1</v>
      </c>
      <c r="D3">
        <f>EXP('Model estimates'!$B$17+'Model estimates'!$B$18*'Webtraffic predictions'!B3)</f>
        <v>19632.368066713196</v>
      </c>
      <c r="E3">
        <f t="shared" ref="E3:E66" si="0">MIN(D3,MAX($C$4:$C$25))</f>
        <v>18207</v>
      </c>
      <c r="F3" s="19">
        <v>3</v>
      </c>
      <c r="G3">
        <v>9637</v>
      </c>
      <c r="H3">
        <f t="shared" ref="H3:H32" si="1">LN(G3)</f>
        <v>9.173365135851288</v>
      </c>
    </row>
    <row r="4" spans="1:8">
      <c r="A4" s="18">
        <v>39142</v>
      </c>
      <c r="B4" s="19">
        <v>2</v>
      </c>
      <c r="C4">
        <v>7775</v>
      </c>
      <c r="D4">
        <f>EXP('Model estimates'!$B$17+'Model estimates'!$B$18*'Webtraffic predictions'!B4)</f>
        <v>18858.579643740799</v>
      </c>
      <c r="E4">
        <f t="shared" si="0"/>
        <v>18207</v>
      </c>
      <c r="F4" s="19">
        <v>4</v>
      </c>
      <c r="G4">
        <v>10040</v>
      </c>
      <c r="H4">
        <f t="shared" si="1"/>
        <v>9.2143323932457211</v>
      </c>
    </row>
    <row r="5" spans="1:8">
      <c r="A5" s="18">
        <v>39173</v>
      </c>
      <c r="B5" s="19">
        <v>3</v>
      </c>
      <c r="C5">
        <v>9637</v>
      </c>
      <c r="D5">
        <f>EXP('Model estimates'!$B$17+'Model estimates'!$B$18*'Webtraffic predictions'!B5)</f>
        <v>18115.289249406218</v>
      </c>
      <c r="E5">
        <f t="shared" si="0"/>
        <v>18115.289249406218</v>
      </c>
      <c r="F5" s="19">
        <v>5</v>
      </c>
      <c r="G5">
        <v>9014</v>
      </c>
      <c r="H5">
        <f t="shared" si="1"/>
        <v>9.1065342032505932</v>
      </c>
    </row>
    <row r="6" spans="1:8">
      <c r="A6" s="18">
        <v>39203</v>
      </c>
      <c r="B6" s="19">
        <v>4</v>
      </c>
      <c r="C6">
        <v>10040</v>
      </c>
      <c r="D6">
        <f>EXP('Model estimates'!$B$17+'Model estimates'!$B$18*'Webtraffic predictions'!B6)</f>
        <v>17401.29483709926</v>
      </c>
      <c r="E6">
        <f t="shared" si="0"/>
        <v>17401.29483709926</v>
      </c>
      <c r="F6" s="19">
        <v>7</v>
      </c>
      <c r="G6">
        <v>10332</v>
      </c>
      <c r="H6">
        <f t="shared" si="1"/>
        <v>9.2430011542157313</v>
      </c>
    </row>
    <row r="7" spans="1:8">
      <c r="A7" s="18">
        <v>39234</v>
      </c>
      <c r="B7" s="19">
        <v>5</v>
      </c>
      <c r="C7">
        <v>9014</v>
      </c>
      <c r="D7">
        <f>EXP('Model estimates'!$B$17+'Model estimates'!$B$18*'Webtraffic predictions'!B7)</f>
        <v>16715.441737568897</v>
      </c>
      <c r="E7">
        <f t="shared" si="0"/>
        <v>16715.441737568897</v>
      </c>
      <c r="F7" s="19">
        <v>8</v>
      </c>
      <c r="G7">
        <v>11818</v>
      </c>
      <c r="H7">
        <f t="shared" si="1"/>
        <v>9.3773790719056205</v>
      </c>
    </row>
    <row r="8" spans="1:8">
      <c r="A8" s="18">
        <v>39264</v>
      </c>
      <c r="B8" s="19">
        <v>6</v>
      </c>
      <c r="D8">
        <f>EXP('Model estimates'!$B$17+'Model estimates'!$B$18*'Webtraffic predictions'!B8)</f>
        <v>16056.620791595986</v>
      </c>
      <c r="E8">
        <f t="shared" si="0"/>
        <v>16056.620791595986</v>
      </c>
      <c r="F8" s="19">
        <v>9</v>
      </c>
      <c r="G8">
        <v>6846</v>
      </c>
      <c r="H8">
        <f t="shared" si="1"/>
        <v>8.8314198190901312</v>
      </c>
    </row>
    <row r="9" spans="1:8">
      <c r="A9" s="18">
        <v>39295</v>
      </c>
      <c r="B9" s="19">
        <v>7</v>
      </c>
      <c r="C9">
        <v>10332</v>
      </c>
      <c r="D9">
        <f>EXP('Model estimates'!$B$17+'Model estimates'!$B$18*'Webtraffic predictions'!B9)</f>
        <v>15423.7665562651</v>
      </c>
      <c r="E9">
        <f t="shared" si="0"/>
        <v>15423.7665562651</v>
      </c>
      <c r="F9" s="19">
        <v>11</v>
      </c>
      <c r="G9">
        <v>10768</v>
      </c>
      <c r="H9">
        <f t="shared" si="1"/>
        <v>9.2843340518845086</v>
      </c>
    </row>
    <row r="10" spans="1:8">
      <c r="A10" s="18">
        <v>39326</v>
      </c>
      <c r="B10" s="19">
        <v>8</v>
      </c>
      <c r="C10">
        <v>11818</v>
      </c>
      <c r="D10">
        <f>EXP('Model estimates'!$B$17+'Model estimates'!$B$18*'Webtraffic predictions'!B10)</f>
        <v>14815.855581933778</v>
      </c>
      <c r="E10">
        <f t="shared" si="0"/>
        <v>14815.855581933778</v>
      </c>
      <c r="F10" s="19">
        <v>12</v>
      </c>
      <c r="G10">
        <v>17070</v>
      </c>
      <c r="H10">
        <f t="shared" si="1"/>
        <v>9.7450778157884859</v>
      </c>
    </row>
    <row r="11" spans="1:8">
      <c r="A11" s="18">
        <v>39356</v>
      </c>
      <c r="B11" s="19">
        <v>9</v>
      </c>
      <c r="C11">
        <v>6846</v>
      </c>
      <c r="D11">
        <f>EXP('Model estimates'!$B$17+'Model estimates'!$B$18*'Webtraffic predictions'!B11)</f>
        <v>14231.904757113585</v>
      </c>
      <c r="E11">
        <f t="shared" si="0"/>
        <v>14231.904757113585</v>
      </c>
      <c r="F11" s="19">
        <v>13</v>
      </c>
      <c r="G11">
        <v>15515</v>
      </c>
      <c r="H11">
        <f t="shared" si="1"/>
        <v>9.6495625768824809</v>
      </c>
    </row>
    <row r="12" spans="1:8">
      <c r="A12" s="18">
        <v>39387</v>
      </c>
      <c r="B12" s="19">
        <v>10</v>
      </c>
      <c r="D12">
        <f>EXP('Model estimates'!$B$17+'Model estimates'!$B$18*'Webtraffic predictions'!B12)</f>
        <v>13670.969718585477</v>
      </c>
      <c r="E12">
        <f t="shared" si="0"/>
        <v>13670.969718585477</v>
      </c>
      <c r="F12" s="19">
        <v>15</v>
      </c>
      <c r="G12">
        <v>18083</v>
      </c>
      <c r="H12">
        <f t="shared" si="1"/>
        <v>9.8027275493849793</v>
      </c>
    </row>
    <row r="13" spans="1:8">
      <c r="A13" s="18">
        <v>39417</v>
      </c>
      <c r="B13" s="19">
        <v>11</v>
      </c>
      <c r="C13">
        <v>10768</v>
      </c>
      <c r="D13">
        <f>EXP('Model estimates'!$B$17+'Model estimates'!$B$18*'Webtraffic predictions'!B13)</f>
        <v>13132.143324179015</v>
      </c>
      <c r="E13">
        <f t="shared" si="0"/>
        <v>13132.143324179015</v>
      </c>
      <c r="F13" s="19">
        <v>16</v>
      </c>
      <c r="G13">
        <v>18112</v>
      </c>
      <c r="H13">
        <f t="shared" si="1"/>
        <v>9.8043299810029101</v>
      </c>
    </row>
    <row r="14" spans="1:8">
      <c r="A14" s="18">
        <v>39448</v>
      </c>
      <c r="B14" s="19">
        <v>12</v>
      </c>
      <c r="C14">
        <v>17070</v>
      </c>
      <c r="D14">
        <f>EXP('Model estimates'!$B$17+'Model estimates'!$B$18*'Webtraffic predictions'!B14)</f>
        <v>12614.554185745308</v>
      </c>
      <c r="E14">
        <f t="shared" si="0"/>
        <v>12614.554185745308</v>
      </c>
      <c r="F14" s="19">
        <v>17</v>
      </c>
      <c r="G14">
        <v>16917</v>
      </c>
      <c r="H14">
        <f t="shared" si="1"/>
        <v>9.7360743124752922</v>
      </c>
    </row>
    <row r="15" spans="1:8">
      <c r="A15" s="18">
        <v>39479</v>
      </c>
      <c r="B15" s="19">
        <v>13</v>
      </c>
      <c r="C15">
        <v>15515</v>
      </c>
      <c r="D15">
        <f>EXP('Model estimates'!$B$17+'Model estimates'!$B$18*'Webtraffic predictions'!B15)</f>
        <v>12117.365259950997</v>
      </c>
      <c r="E15">
        <f t="shared" si="0"/>
        <v>12117.365259950997</v>
      </c>
      <c r="F15" s="19">
        <v>18</v>
      </c>
      <c r="G15">
        <v>16317</v>
      </c>
      <c r="H15">
        <f t="shared" si="1"/>
        <v>9.6999627880910708</v>
      </c>
    </row>
    <row r="16" spans="1:8">
      <c r="A16" s="18">
        <v>39508</v>
      </c>
      <c r="B16" s="19">
        <v>14</v>
      </c>
      <c r="D16">
        <f>EXP('Model estimates'!$B$17+'Model estimates'!$B$18*'Webtraffic predictions'!B16)</f>
        <v>11639.772494614903</v>
      </c>
      <c r="E16">
        <f t="shared" si="0"/>
        <v>11639.772494614903</v>
      </c>
      <c r="F16" s="19">
        <v>19</v>
      </c>
      <c r="G16">
        <v>14464</v>
      </c>
      <c r="H16">
        <f t="shared" si="1"/>
        <v>9.5794180826319586</v>
      </c>
    </row>
    <row r="17" spans="1:8">
      <c r="A17" s="18">
        <v>39539</v>
      </c>
      <c r="B17" s="19">
        <v>15</v>
      </c>
      <c r="C17">
        <v>18083</v>
      </c>
      <c r="D17">
        <f>EXP('Model estimates'!$B$17+'Model estimates'!$B$18*'Webtraffic predictions'!B17)</f>
        <v>11181.003528397503</v>
      </c>
      <c r="E17">
        <f t="shared" si="0"/>
        <v>11181.003528397503</v>
      </c>
      <c r="F17" s="19">
        <v>20</v>
      </c>
      <c r="G17">
        <v>15798</v>
      </c>
      <c r="H17">
        <f t="shared" si="1"/>
        <v>9.6676386287243652</v>
      </c>
    </row>
    <row r="18" spans="1:8">
      <c r="A18" s="18">
        <v>39569</v>
      </c>
      <c r="B18" s="19">
        <v>16</v>
      </c>
      <c r="C18">
        <v>18112</v>
      </c>
      <c r="D18">
        <f>EXP('Model estimates'!$B$17+'Model estimates'!$B$18*'Webtraffic predictions'!B18)</f>
        <v>10740.316441741044</v>
      </c>
      <c r="E18">
        <f t="shared" si="0"/>
        <v>10740.316441741044</v>
      </c>
      <c r="F18" s="19">
        <v>21</v>
      </c>
      <c r="G18">
        <v>15664</v>
      </c>
      <c r="H18">
        <f t="shared" si="1"/>
        <v>9.6591203647702919</v>
      </c>
    </row>
    <row r="19" spans="1:8">
      <c r="A19" s="18">
        <v>39600</v>
      </c>
      <c r="B19" s="19">
        <v>17</v>
      </c>
      <c r="C19">
        <v>16917</v>
      </c>
      <c r="D19">
        <f>EXP('Model estimates'!$B$17+'Model estimates'!$B$18*'Webtraffic predictions'!B19)</f>
        <v>10316.998557039698</v>
      </c>
      <c r="E19">
        <f t="shared" si="0"/>
        <v>10316.998557039698</v>
      </c>
      <c r="F19" s="19">
        <v>22</v>
      </c>
      <c r="G19">
        <v>18207</v>
      </c>
      <c r="H19">
        <f t="shared" si="1"/>
        <v>9.809561414503964</v>
      </c>
    </row>
    <row r="20" spans="1:8">
      <c r="A20" s="18">
        <v>39630</v>
      </c>
      <c r="B20" s="19">
        <v>18</v>
      </c>
      <c r="C20">
        <v>16317</v>
      </c>
      <c r="D20">
        <f>EXP('Model estimates'!$B$17+'Model estimates'!$B$18*'Webtraffic predictions'!B20)</f>
        <v>9910.36528609999</v>
      </c>
      <c r="E20">
        <f t="shared" si="0"/>
        <v>9910.36528609999</v>
      </c>
      <c r="F20" s="19">
        <v>23</v>
      </c>
      <c r="G20">
        <v>17167</v>
      </c>
      <c r="H20">
        <f t="shared" si="1"/>
        <v>9.7507442152709292</v>
      </c>
    </row>
    <row r="21" spans="1:8">
      <c r="A21" s="18">
        <v>39661</v>
      </c>
      <c r="B21" s="19">
        <v>19</v>
      </c>
      <c r="C21">
        <v>14464</v>
      </c>
      <c r="D21">
        <f>EXP('Model estimates'!$B$17+'Model estimates'!$B$18*'Webtraffic predictions'!B21)</f>
        <v>9519.7590230270507</v>
      </c>
      <c r="E21">
        <f t="shared" si="0"/>
        <v>9519.7590230270507</v>
      </c>
      <c r="F21" s="19">
        <v>67</v>
      </c>
      <c r="G21">
        <v>390</v>
      </c>
      <c r="H21">
        <f t="shared" si="1"/>
        <v>5.9661467391236922</v>
      </c>
    </row>
    <row r="22" spans="1:8">
      <c r="A22" s="18">
        <v>39692</v>
      </c>
      <c r="B22" s="19">
        <v>20</v>
      </c>
      <c r="C22">
        <v>15798</v>
      </c>
      <c r="D22">
        <f>EXP('Model estimates'!$B$17+'Model estimates'!$B$18*'Webtraffic predictions'!B22)</f>
        <v>9144.5480807467393</v>
      </c>
      <c r="E22">
        <f t="shared" si="0"/>
        <v>9144.5480807467393</v>
      </c>
      <c r="F22" s="19">
        <v>68</v>
      </c>
      <c r="G22">
        <v>694</v>
      </c>
      <c r="H22">
        <f t="shared" si="1"/>
        <v>6.5424719605068047</v>
      </c>
    </row>
    <row r="23" spans="1:8">
      <c r="A23" s="18">
        <v>39722</v>
      </c>
      <c r="B23" s="19">
        <v>21</v>
      </c>
      <c r="C23">
        <v>15664</v>
      </c>
      <c r="D23">
        <f>EXP('Model estimates'!$B$17+'Model estimates'!$B$18*'Webtraffic predictions'!B23)</f>
        <v>8784.1256694435779</v>
      </c>
      <c r="E23">
        <f t="shared" si="0"/>
        <v>8784.1256694435779</v>
      </c>
      <c r="F23" s="19">
        <v>69</v>
      </c>
      <c r="G23">
        <v>1167</v>
      </c>
      <c r="H23">
        <f t="shared" si="1"/>
        <v>7.0621916322865559</v>
      </c>
    </row>
    <row r="24" spans="1:8">
      <c r="A24" s="18">
        <v>39753</v>
      </c>
      <c r="B24" s="19">
        <v>22</v>
      </c>
      <c r="C24">
        <v>18207</v>
      </c>
      <c r="D24">
        <f>EXP('Model estimates'!$B$17+'Model estimates'!$B$18*'Webtraffic predictions'!B24)</f>
        <v>8437.9089152622764</v>
      </c>
      <c r="E24">
        <f t="shared" si="0"/>
        <v>8437.9089152622764</v>
      </c>
      <c r="F24" s="19">
        <v>70</v>
      </c>
      <c r="G24">
        <v>861</v>
      </c>
      <c r="H24">
        <f t="shared" si="1"/>
        <v>6.7580945044277305</v>
      </c>
    </row>
    <row r="25" spans="1:8">
      <c r="A25" s="18">
        <v>39783</v>
      </c>
      <c r="B25" s="19">
        <v>23</v>
      </c>
      <c r="C25">
        <v>17167</v>
      </c>
      <c r="D25">
        <f>EXP('Model estimates'!$B$17+'Model estimates'!$B$18*'Webtraffic predictions'!B25)</f>
        <v>8105.3379176863173</v>
      </c>
      <c r="E25">
        <f t="shared" si="0"/>
        <v>8105.3379176863173</v>
      </c>
      <c r="F25" s="19">
        <v>71</v>
      </c>
      <c r="G25">
        <v>779</v>
      </c>
      <c r="H25">
        <f t="shared" si="1"/>
        <v>6.6580110458707482</v>
      </c>
    </row>
    <row r="26" spans="1:8">
      <c r="A26" s="18">
        <v>39814</v>
      </c>
      <c r="B26" s="19">
        <v>24</v>
      </c>
      <c r="D26">
        <f>EXP('Model estimates'!$B$17+'Model estimates'!$B$18*'Webtraffic predictions'!B26)</f>
        <v>7785.874844068685</v>
      </c>
      <c r="E26">
        <f t="shared" si="0"/>
        <v>7785.874844068685</v>
      </c>
      <c r="F26" s="19">
        <v>72</v>
      </c>
      <c r="G26">
        <v>1069</v>
      </c>
      <c r="H26">
        <f t="shared" si="1"/>
        <v>6.9744789110250451</v>
      </c>
    </row>
    <row r="27" spans="1:8">
      <c r="A27" s="18" t="s">
        <v>235</v>
      </c>
      <c r="B27" s="19">
        <v>25</v>
      </c>
      <c r="D27">
        <f>EXP('Model estimates'!$B$17+'Model estimates'!$B$18*'Webtraffic predictions'!B27)</f>
        <v>7479.0030598509229</v>
      </c>
      <c r="E27">
        <f t="shared" si="0"/>
        <v>7479.0030598509229</v>
      </c>
      <c r="F27" s="19">
        <v>73</v>
      </c>
      <c r="G27">
        <v>1197</v>
      </c>
      <c r="H27">
        <f t="shared" si="1"/>
        <v>7.0875737055579728</v>
      </c>
    </row>
    <row r="28" spans="1:8">
      <c r="A28" s="18">
        <v>39873</v>
      </c>
      <c r="B28" s="19">
        <v>26</v>
      </c>
      <c r="D28">
        <f>EXP('Model estimates'!$B$17+'Model estimates'!$B$18*'Webtraffic predictions'!B28)</f>
        <v>7184.2262930634288</v>
      </c>
      <c r="E28">
        <f t="shared" si="0"/>
        <v>7184.2262930634288</v>
      </c>
      <c r="F28" s="19">
        <v>74</v>
      </c>
      <c r="G28">
        <v>1242</v>
      </c>
      <c r="H28">
        <f t="shared" si="1"/>
        <v>7.1244782624934242</v>
      </c>
    </row>
    <row r="29" spans="1:8">
      <c r="A29" s="18">
        <v>39904</v>
      </c>
      <c r="B29" s="19">
        <v>27</v>
      </c>
      <c r="D29">
        <f>EXP('Model estimates'!$B$17+'Model estimates'!$B$18*'Webtraffic predictions'!B29)</f>
        <v>6901.0678317562797</v>
      </c>
      <c r="E29">
        <f t="shared" si="0"/>
        <v>6901.0678317562797</v>
      </c>
      <c r="F29" s="19">
        <v>75</v>
      </c>
      <c r="G29">
        <v>1649</v>
      </c>
      <c r="H29">
        <f t="shared" si="1"/>
        <v>7.407924322559599</v>
      </c>
    </row>
    <row r="30" spans="1:8">
      <c r="A30" s="18">
        <v>39934</v>
      </c>
      <c r="B30" s="19">
        <v>28</v>
      </c>
      <c r="D30">
        <f>EXP('Model estimates'!$B$17+'Model estimates'!$B$18*'Webtraffic predictions'!B30)</f>
        <v>6629.069753062251</v>
      </c>
      <c r="E30">
        <f t="shared" si="0"/>
        <v>6629.069753062251</v>
      </c>
      <c r="F30" s="19">
        <v>76</v>
      </c>
      <c r="G30">
        <v>1140</v>
      </c>
      <c r="H30">
        <f t="shared" si="1"/>
        <v>7.0387835413885416</v>
      </c>
    </row>
    <row r="31" spans="1:8">
      <c r="A31" s="18">
        <v>39965</v>
      </c>
      <c r="B31" s="19">
        <v>29</v>
      </c>
      <c r="D31">
        <f>EXP('Model estimates'!$B$17+'Model estimates'!$B$18*'Webtraffic predictions'!B31)</f>
        <v>6367.7921826456113</v>
      </c>
      <c r="E31">
        <f t="shared" si="0"/>
        <v>6367.7921826456113</v>
      </c>
      <c r="F31" s="19">
        <v>77</v>
      </c>
      <c r="G31">
        <v>1152</v>
      </c>
      <c r="H31">
        <f t="shared" si="1"/>
        <v>7.0492548412558369</v>
      </c>
    </row>
    <row r="32" spans="1:8">
      <c r="A32" s="18">
        <v>39995</v>
      </c>
      <c r="B32" s="19">
        <v>30</v>
      </c>
      <c r="D32">
        <f>EXP('Model estimates'!$B$17+'Model estimates'!$B$18*'Webtraffic predictions'!B32)</f>
        <v>6116.812583338924</v>
      </c>
      <c r="E32">
        <f t="shared" si="0"/>
        <v>6116.812583338924</v>
      </c>
      <c r="F32" s="19">
        <v>78</v>
      </c>
      <c r="G32">
        <v>1189</v>
      </c>
      <c r="H32">
        <f t="shared" si="1"/>
        <v>7.0808678966907816</v>
      </c>
    </row>
    <row r="33" spans="1:5">
      <c r="A33" s="18">
        <v>40026</v>
      </c>
      <c r="B33" s="19">
        <v>31</v>
      </c>
      <c r="D33">
        <f>EXP('Model estimates'!$B$17+'Model estimates'!$B$18*'Webtraffic predictions'!B33)</f>
        <v>5875.7250718173491</v>
      </c>
      <c r="E33">
        <f t="shared" si="0"/>
        <v>5875.7250718173491</v>
      </c>
    </row>
    <row r="34" spans="1:5">
      <c r="A34" s="18">
        <v>40057</v>
      </c>
      <c r="B34" s="19">
        <v>32</v>
      </c>
      <c r="D34">
        <f>EXP('Model estimates'!$B$17+'Model estimates'!$B$18*'Webtraffic predictions'!B34)</f>
        <v>5644.1397622056447</v>
      </c>
      <c r="E34">
        <f t="shared" si="0"/>
        <v>5644.1397622056447</v>
      </c>
    </row>
    <row r="35" spans="1:5">
      <c r="A35" s="18">
        <v>40087</v>
      </c>
      <c r="B35" s="19">
        <v>33</v>
      </c>
      <c r="D35">
        <f>EXP('Model estimates'!$B$17+'Model estimates'!$B$18*'Webtraffic predictions'!B35)</f>
        <v>5421.6821355560205</v>
      </c>
      <c r="E35">
        <f t="shared" si="0"/>
        <v>5421.6821355560205</v>
      </c>
    </row>
    <row r="36" spans="1:5">
      <c r="A36" s="18">
        <v>40118</v>
      </c>
      <c r="B36" s="19">
        <v>34</v>
      </c>
      <c r="D36">
        <f>EXP('Model estimates'!$B$17+'Model estimates'!$B$18*'Webtraffic predictions'!B36)</f>
        <v>5207.9924341774904</v>
      </c>
      <c r="E36">
        <f t="shared" si="0"/>
        <v>5207.9924341774904</v>
      </c>
    </row>
    <row r="37" spans="1:5">
      <c r="A37" s="18">
        <v>40148</v>
      </c>
      <c r="B37" s="19">
        <v>35</v>
      </c>
      <c r="D37">
        <f>EXP('Model estimates'!$B$17+'Model estimates'!$B$18*'Webtraffic predictions'!B37)</f>
        <v>5002.7250798369278</v>
      </c>
      <c r="E37">
        <f t="shared" si="0"/>
        <v>5002.7250798369278</v>
      </c>
    </row>
    <row r="38" spans="1:5">
      <c r="A38" s="18">
        <v>40179</v>
      </c>
      <c r="B38" s="19">
        <v>36</v>
      </c>
      <c r="D38">
        <f>EXP('Model estimates'!$B$17+'Model estimates'!$B$18*'Webtraffic predictions'!B38)</f>
        <v>4805.5481148912331</v>
      </c>
      <c r="E38">
        <f t="shared" si="0"/>
        <v>4805.5481148912331</v>
      </c>
    </row>
    <row r="39" spans="1:5">
      <c r="A39" s="18">
        <v>40210</v>
      </c>
      <c r="B39" s="19">
        <v>37</v>
      </c>
      <c r="D39">
        <f>EXP('Model estimates'!$B$17+'Model estimates'!$B$18*'Webtraffic predictions'!B39)</f>
        <v>4616.1426654465295</v>
      </c>
      <c r="E39">
        <f t="shared" si="0"/>
        <v>4616.1426654465295</v>
      </c>
    </row>
    <row r="40" spans="1:5">
      <c r="A40" s="18">
        <v>40238</v>
      </c>
      <c r="B40" s="19">
        <v>38</v>
      </c>
      <c r="D40">
        <f>EXP('Model estimates'!$B$17+'Model estimates'!$B$18*'Webtraffic predictions'!B40)</f>
        <v>4434.202425676498</v>
      </c>
      <c r="E40">
        <f t="shared" si="0"/>
        <v>4434.202425676498</v>
      </c>
    </row>
    <row r="41" spans="1:5">
      <c r="A41" s="18">
        <v>40269</v>
      </c>
      <c r="B41" s="19">
        <v>39</v>
      </c>
      <c r="D41">
        <f>EXP('Model estimates'!$B$17+'Model estimates'!$B$18*'Webtraffic predictions'!B41)</f>
        <v>4259.4331624656097</v>
      </c>
      <c r="E41">
        <f t="shared" si="0"/>
        <v>4259.4331624656097</v>
      </c>
    </row>
    <row r="42" spans="1:5">
      <c r="A42" s="18">
        <v>40299</v>
      </c>
      <c r="B42" s="19">
        <v>40</v>
      </c>
      <c r="D42">
        <f>EXP('Model estimates'!$B$17+'Model estimates'!$B$18*'Webtraffic predictions'!B42)</f>
        <v>4091.5522395763937</v>
      </c>
      <c r="E42">
        <f t="shared" si="0"/>
        <v>4091.5522395763937</v>
      </c>
    </row>
    <row r="43" spans="1:5">
      <c r="A43" s="18">
        <v>40330</v>
      </c>
      <c r="B43" s="19">
        <v>41</v>
      </c>
      <c r="D43">
        <f>EXP('Model estimates'!$B$17+'Model estimates'!$B$18*'Webtraffic predictions'!B43)</f>
        <v>3930.2881605711304</v>
      </c>
      <c r="E43">
        <f t="shared" si="0"/>
        <v>3930.2881605711304</v>
      </c>
    </row>
    <row r="44" spans="1:5">
      <c r="A44" s="18">
        <v>40360</v>
      </c>
      <c r="B44" s="19">
        <v>42</v>
      </c>
      <c r="D44">
        <f>EXP('Model estimates'!$B$17+'Model estimates'!$B$18*'Webtraffic predictions'!B44)</f>
        <v>3775.3801297487148</v>
      </c>
      <c r="E44">
        <f t="shared" si="0"/>
        <v>3775.3801297487148</v>
      </c>
    </row>
    <row r="45" spans="1:5">
      <c r="A45" s="18">
        <v>40391</v>
      </c>
      <c r="B45" s="19">
        <v>43</v>
      </c>
      <c r="D45">
        <f>EXP('Model estimates'!$B$17+'Model estimates'!$B$18*'Webtraffic predictions'!B45)</f>
        <v>3626.5776303868265</v>
      </c>
      <c r="E45">
        <f t="shared" si="0"/>
        <v>3626.5776303868265</v>
      </c>
    </row>
    <row r="46" spans="1:5">
      <c r="A46" s="18">
        <v>40422</v>
      </c>
      <c r="B46" s="19">
        <v>44</v>
      </c>
      <c r="D46">
        <f>EXP('Model estimates'!$B$17+'Model estimates'!$B$18*'Webtraffic predictions'!B46)</f>
        <v>3483.6400196071099</v>
      </c>
      <c r="E46">
        <f t="shared" si="0"/>
        <v>3483.6400196071099</v>
      </c>
    </row>
    <row r="47" spans="1:5">
      <c r="A47" s="18">
        <v>40452</v>
      </c>
      <c r="B47" s="19">
        <v>45</v>
      </c>
      <c r="D47">
        <f>EXP('Model estimates'!$B$17+'Model estimates'!$B$18*'Webtraffic predictions'!B47)</f>
        <v>3346.3361392084125</v>
      </c>
      <c r="E47">
        <f t="shared" si="0"/>
        <v>3346.3361392084125</v>
      </c>
    </row>
    <row r="48" spans="1:5">
      <c r="A48" s="18">
        <v>40483</v>
      </c>
      <c r="B48" s="19">
        <v>46</v>
      </c>
      <c r="D48">
        <f>EXP('Model estimates'!$B$17+'Model estimates'!$B$18*'Webtraffic predictions'!B48)</f>
        <v>3214.4439418385109</v>
      </c>
      <c r="E48">
        <f t="shared" si="0"/>
        <v>3214.4439418385109</v>
      </c>
    </row>
    <row r="49" spans="1:5">
      <c r="A49" s="18">
        <v>40513</v>
      </c>
      <c r="B49" s="19">
        <v>47</v>
      </c>
      <c r="D49">
        <f>EXP('Model estimates'!$B$17+'Model estimates'!$B$18*'Webtraffic predictions'!B49)</f>
        <v>3087.7501318999316</v>
      </c>
      <c r="E49">
        <f t="shared" si="0"/>
        <v>3087.7501318999316</v>
      </c>
    </row>
    <row r="50" spans="1:5">
      <c r="A50" s="18">
        <v>40544</v>
      </c>
      <c r="B50" s="19">
        <v>48</v>
      </c>
      <c r="D50">
        <f>EXP('Model estimates'!$B$17+'Model estimates'!$B$18*'Webtraffic predictions'!B50)</f>
        <v>2966.0498206090783</v>
      </c>
      <c r="E50">
        <f t="shared" si="0"/>
        <v>2966.0498206090783</v>
      </c>
    </row>
    <row r="51" spans="1:5">
      <c r="A51" s="18">
        <v>40575</v>
      </c>
      <c r="B51" s="19">
        <v>49</v>
      </c>
      <c r="D51">
        <f>EXP('Model estimates'!$B$17+'Model estimates'!$B$18*'Webtraffic predictions'!B51)</f>
        <v>2849.1461946507839</v>
      </c>
      <c r="E51">
        <f t="shared" si="0"/>
        <v>2849.1461946507839</v>
      </c>
    </row>
    <row r="52" spans="1:5">
      <c r="A52" s="18">
        <v>40603</v>
      </c>
      <c r="B52" s="19">
        <v>50</v>
      </c>
      <c r="D52">
        <f>EXP('Model estimates'!$B$17+'Model estimates'!$B$18*'Webtraffic predictions'!B52)</f>
        <v>2736.8501978925269</v>
      </c>
      <c r="E52">
        <f t="shared" si="0"/>
        <v>2736.8501978925269</v>
      </c>
    </row>
    <row r="53" spans="1:5">
      <c r="A53" s="18">
        <v>40634</v>
      </c>
      <c r="B53" s="19">
        <v>51</v>
      </c>
      <c r="D53">
        <f>EXP('Model estimates'!$B$17+'Model estimates'!$B$18*'Webtraffic predictions'!B53)</f>
        <v>2628.9802256435046</v>
      </c>
      <c r="E53">
        <f t="shared" si="0"/>
        <v>2628.9802256435046</v>
      </c>
    </row>
    <row r="54" spans="1:5">
      <c r="A54" s="18">
        <v>40664</v>
      </c>
      <c r="B54" s="19">
        <v>52</v>
      </c>
      <c r="D54">
        <f>EXP('Model estimates'!$B$17+'Model estimates'!$B$18*'Webtraffic predictions'!B54)</f>
        <v>2525.3618309641924</v>
      </c>
      <c r="E54">
        <f t="shared" si="0"/>
        <v>2525.3618309641924</v>
      </c>
    </row>
    <row r="55" spans="1:5">
      <c r="A55" s="18">
        <v>40695</v>
      </c>
      <c r="B55" s="19">
        <v>53</v>
      </c>
      <c r="D55">
        <f>EXP('Model estimates'!$B$17+'Model estimates'!$B$18*'Webtraffic predictions'!B55)</f>
        <v>2425.8274425513346</v>
      </c>
      <c r="E55">
        <f t="shared" si="0"/>
        <v>2425.8274425513346</v>
      </c>
    </row>
    <row r="56" spans="1:5">
      <c r="A56" s="18">
        <v>40725</v>
      </c>
      <c r="B56" s="19">
        <v>54</v>
      </c>
      <c r="D56">
        <f>EXP('Model estimates'!$B$17+'Model estimates'!$B$18*'Webtraffic predictions'!B56)</f>
        <v>2330.2160937422468</v>
      </c>
      <c r="E56">
        <f t="shared" si="0"/>
        <v>2330.2160937422468</v>
      </c>
    </row>
    <row r="57" spans="1:5">
      <c r="A57" s="18">
        <v>40756</v>
      </c>
      <c r="B57" s="19">
        <v>55</v>
      </c>
      <c r="D57">
        <f>EXP('Model estimates'!$B$17+'Model estimates'!$B$18*'Webtraffic predictions'!B57)</f>
        <v>2238.3731622000846</v>
      </c>
      <c r="E57">
        <f t="shared" si="0"/>
        <v>2238.3731622000846</v>
      </c>
    </row>
    <row r="58" spans="1:5">
      <c r="A58" s="18">
        <v>40787</v>
      </c>
      <c r="B58" s="19">
        <v>56</v>
      </c>
      <c r="D58">
        <f>EXP('Model estimates'!$B$17+'Model estimates'!$B$18*'Webtraffic predictions'!B58)</f>
        <v>2150.1501198591477</v>
      </c>
      <c r="E58">
        <f t="shared" si="0"/>
        <v>2150.1501198591477</v>
      </c>
    </row>
    <row r="59" spans="1:5">
      <c r="A59" s="18">
        <v>40817</v>
      </c>
      <c r="B59" s="19">
        <v>57</v>
      </c>
      <c r="D59">
        <f>EXP('Model estimates'!$B$17+'Model estimates'!$B$18*'Webtraffic predictions'!B59)</f>
        <v>2065.4042927258129</v>
      </c>
      <c r="E59">
        <f t="shared" si="0"/>
        <v>2065.4042927258129</v>
      </c>
    </row>
    <row r="60" spans="1:5">
      <c r="A60" s="18">
        <v>40848</v>
      </c>
      <c r="B60" s="19">
        <v>58</v>
      </c>
      <c r="D60">
        <f>EXP('Model estimates'!$B$17+'Model estimates'!$B$18*'Webtraffic predictions'!B60)</f>
        <v>1983.9986301466549</v>
      </c>
      <c r="E60">
        <f t="shared" si="0"/>
        <v>1983.9986301466549</v>
      </c>
    </row>
    <row r="61" spans="1:5">
      <c r="A61" s="18">
        <v>40878</v>
      </c>
      <c r="B61" s="19">
        <v>59</v>
      </c>
      <c r="D61">
        <f>EXP('Model estimates'!$B$17+'Model estimates'!$B$18*'Webtraffic predictions'!B61)</f>
        <v>1905.8014831706139</v>
      </c>
      <c r="E61">
        <f t="shared" si="0"/>
        <v>1905.8014831706139</v>
      </c>
    </row>
    <row r="62" spans="1:5">
      <c r="A62" s="18">
        <v>40909</v>
      </c>
      <c r="B62" s="19">
        <v>60</v>
      </c>
      <c r="D62">
        <f>EXP('Model estimates'!$B$17+'Model estimates'!$B$18*'Webtraffic predictions'!B62)</f>
        <v>1830.6863916467655</v>
      </c>
      <c r="E62">
        <f t="shared" si="0"/>
        <v>1830.6863916467655</v>
      </c>
    </row>
    <row r="63" spans="1:5">
      <c r="A63" s="18">
        <v>40940</v>
      </c>
      <c r="B63" s="19">
        <v>61</v>
      </c>
      <c r="D63">
        <f>EXP('Model estimates'!$B$17+'Model estimates'!$B$18*'Webtraffic predictions'!B63)</f>
        <v>1758.5318797134289</v>
      </c>
      <c r="E63">
        <f t="shared" si="0"/>
        <v>1758.5318797134289</v>
      </c>
    </row>
    <row r="64" spans="1:5">
      <c r="A64" s="18">
        <v>40969</v>
      </c>
      <c r="B64" s="19">
        <v>62</v>
      </c>
      <c r="D64">
        <f>EXP('Model estimates'!$B$17+'Model estimates'!$B$18*'Webtraffic predictions'!B64)</f>
        <v>1689.2212593478075</v>
      </c>
      <c r="E64">
        <f t="shared" si="0"/>
        <v>1689.2212593478075</v>
      </c>
    </row>
    <row r="65" spans="1:5">
      <c r="A65" s="18">
        <v>41000</v>
      </c>
      <c r="B65" s="19">
        <v>63</v>
      </c>
      <c r="D65">
        <f>EXP('Model estimates'!$B$17+'Model estimates'!$B$18*'Webtraffic predictions'!B65)</f>
        <v>1622.6424416585471</v>
      </c>
      <c r="E65">
        <f t="shared" si="0"/>
        <v>1622.6424416585471</v>
      </c>
    </row>
    <row r="66" spans="1:5">
      <c r="A66" s="18">
        <v>41030</v>
      </c>
      <c r="B66" s="19">
        <v>64</v>
      </c>
      <c r="D66">
        <f>EXP('Model estimates'!$B$17+'Model estimates'!$B$18*'Webtraffic predictions'!B66)</f>
        <v>1558.6877556159673</v>
      </c>
      <c r="E66">
        <f t="shared" si="0"/>
        <v>1558.6877556159673</v>
      </c>
    </row>
    <row r="67" spans="1:5">
      <c r="A67" s="18">
        <v>41061</v>
      </c>
      <c r="B67" s="19">
        <v>65</v>
      </c>
      <c r="D67">
        <f>EXP('Model estimates'!$B$17+'Model estimates'!$B$18*'Webtraffic predictions'!B67)</f>
        <v>1497.2537739268516</v>
      </c>
      <c r="E67">
        <f t="shared" ref="E67:E130" si="2">MIN(D67,MAX($C$4:$C$25))</f>
        <v>1497.2537739268516</v>
      </c>
    </row>
    <row r="68" spans="1:5">
      <c r="A68" s="18">
        <v>41091</v>
      </c>
      <c r="B68" s="19">
        <v>66</v>
      </c>
      <c r="D68">
        <f>EXP('Model estimates'!$B$17+'Model estimates'!$B$18*'Webtraffic predictions'!B68)</f>
        <v>1438.2411457721951</v>
      </c>
      <c r="E68">
        <f t="shared" si="2"/>
        <v>1438.2411457721951</v>
      </c>
    </row>
    <row r="69" spans="1:5">
      <c r="A69" s="18">
        <v>41122</v>
      </c>
      <c r="B69" s="19">
        <v>67</v>
      </c>
      <c r="C69">
        <v>390</v>
      </c>
      <c r="D69">
        <f>EXP('Model estimates'!$B$17+'Model estimates'!$B$18*'Webtraffic predictions'!B69)</f>
        <v>1381.554436137407</v>
      </c>
      <c r="E69">
        <f t="shared" si="2"/>
        <v>1381.554436137407</v>
      </c>
    </row>
    <row r="70" spans="1:5">
      <c r="A70" s="18">
        <v>41153</v>
      </c>
      <c r="B70" s="19">
        <v>68</v>
      </c>
      <c r="C70">
        <v>694</v>
      </c>
      <c r="D70">
        <f>EXP('Model estimates'!$B$17+'Model estimates'!$B$18*'Webtraffic predictions'!B70)</f>
        <v>1327.1019714751444</v>
      </c>
      <c r="E70">
        <f t="shared" si="2"/>
        <v>1327.1019714751444</v>
      </c>
    </row>
    <row r="71" spans="1:5">
      <c r="A71" s="18">
        <v>41183</v>
      </c>
      <c r="B71" s="19">
        <v>69</v>
      </c>
      <c r="C71">
        <v>1167</v>
      </c>
      <c r="D71">
        <f>EXP('Model estimates'!$B$17+'Model estimates'!$B$18*'Webtraffic predictions'!B71)</f>
        <v>1274.7956914511662</v>
      </c>
      <c r="E71">
        <f t="shared" si="2"/>
        <v>1274.7956914511662</v>
      </c>
    </row>
    <row r="72" spans="1:5">
      <c r="A72" s="18">
        <v>41214</v>
      </c>
      <c r="B72" s="19">
        <v>70</v>
      </c>
      <c r="C72">
        <v>861</v>
      </c>
      <c r="D72">
        <f>EXP('Model estimates'!$B$17+'Model estimates'!$B$18*'Webtraffic predictions'!B72)</f>
        <v>1224.5510065334847</v>
      </c>
      <c r="E72">
        <f t="shared" si="2"/>
        <v>1224.5510065334847</v>
      </c>
    </row>
    <row r="73" spans="1:5">
      <c r="A73" s="18">
        <v>41244</v>
      </c>
      <c r="B73" s="19">
        <v>71</v>
      </c>
      <c r="C73">
        <v>779</v>
      </c>
      <c r="D73">
        <f>EXP('Model estimates'!$B$17+'Model estimates'!$B$18*'Webtraffic predictions'!B73)</f>
        <v>1176.2866611944551</v>
      </c>
      <c r="E73">
        <f t="shared" si="2"/>
        <v>1176.2866611944551</v>
      </c>
    </row>
    <row r="74" spans="1:5">
      <c r="A74" s="18">
        <v>41275</v>
      </c>
      <c r="B74" s="19">
        <v>72</v>
      </c>
      <c r="C74">
        <v>1069</v>
      </c>
      <c r="D74">
        <f>EXP('Model estimates'!$B$17+'Model estimates'!$B$18*'Webtraffic predictions'!B74)</f>
        <v>1129.9246025046352</v>
      </c>
      <c r="E74">
        <f t="shared" si="2"/>
        <v>1129.9246025046352</v>
      </c>
    </row>
    <row r="75" spans="1:5">
      <c r="A75" s="18">
        <v>41306</v>
      </c>
      <c r="B75" s="19">
        <v>73</v>
      </c>
      <c r="C75">
        <v>1197</v>
      </c>
      <c r="D75">
        <f>EXP('Model estimates'!$B$17+'Model estimates'!$B$18*'Webtraffic predictions'!B75)</f>
        <v>1085.3898539058571</v>
      </c>
      <c r="E75">
        <f t="shared" si="2"/>
        <v>1085.3898539058571</v>
      </c>
    </row>
    <row r="76" spans="1:5">
      <c r="A76" s="18">
        <v>41334</v>
      </c>
      <c r="B76" s="19">
        <v>74</v>
      </c>
      <c r="C76">
        <v>1242</v>
      </c>
      <c r="D76">
        <f>EXP('Model estimates'!$B$17+'Model estimates'!$B$18*'Webtraffic predictions'!B76)</f>
        <v>1042.6103939594013</v>
      </c>
      <c r="E76">
        <f t="shared" si="2"/>
        <v>1042.6103939594013</v>
      </c>
    </row>
    <row r="77" spans="1:5">
      <c r="A77" s="18">
        <v>41365</v>
      </c>
      <c r="B77" s="19">
        <v>75</v>
      </c>
      <c r="C77">
        <v>1649</v>
      </c>
      <c r="D77">
        <f>EXP('Model estimates'!$B$17+'Model estimates'!$B$18*'Webtraffic predictions'!B77)</f>
        <v>1001.5170398731807</v>
      </c>
      <c r="E77">
        <f t="shared" si="2"/>
        <v>1001.5170398731807</v>
      </c>
    </row>
    <row r="78" spans="1:5">
      <c r="A78" s="18">
        <v>41395</v>
      </c>
      <c r="B78" s="19">
        <v>76</v>
      </c>
      <c r="C78">
        <v>1140</v>
      </c>
      <c r="D78">
        <f>EXP('Model estimates'!$B$17+'Model estimates'!$B$18*'Webtraffic predictions'!B78)</f>
        <v>962.04333561957174</v>
      </c>
      <c r="E78">
        <f t="shared" si="2"/>
        <v>962.04333561957174</v>
      </c>
    </row>
    <row r="79" spans="1:5">
      <c r="A79" s="18">
        <v>41426</v>
      </c>
      <c r="B79" s="19">
        <v>77</v>
      </c>
      <c r="C79">
        <v>1152</v>
      </c>
      <c r="D79">
        <f>EXP('Model estimates'!$B$17+'Model estimates'!$B$18*'Webtraffic predictions'!B79)</f>
        <v>924.1254444629617</v>
      </c>
      <c r="E79">
        <f t="shared" si="2"/>
        <v>924.1254444629617</v>
      </c>
    </row>
    <row r="80" spans="1:5">
      <c r="A80" s="18">
        <v>41456</v>
      </c>
      <c r="B80" s="19">
        <v>78</v>
      </c>
      <c r="C80">
        <v>1189</v>
      </c>
      <c r="D80">
        <f>EXP('Model estimates'!$B$17+'Model estimates'!$B$18*'Webtraffic predictions'!B80)</f>
        <v>887.70204572320006</v>
      </c>
      <c r="E80">
        <f t="shared" si="2"/>
        <v>887.70204572320006</v>
      </c>
    </row>
    <row r="81" spans="1:5">
      <c r="A81" s="18">
        <v>41487</v>
      </c>
      <c r="B81" s="19">
        <v>79</v>
      </c>
      <c r="D81">
        <f>EXP('Model estimates'!$B$17+'Model estimates'!$B$18*'Webtraffic predictions'!B81)</f>
        <v>852.71423560801952</v>
      </c>
      <c r="E81">
        <f t="shared" si="2"/>
        <v>852.71423560801952</v>
      </c>
    </row>
    <row r="82" spans="1:5">
      <c r="A82" s="18">
        <v>41518</v>
      </c>
      <c r="B82" s="19">
        <v>80</v>
      </c>
      <c r="D82">
        <f>EXP('Model estimates'!$B$17+'Model estimates'!$B$18*'Webtraffic predictions'!B82)</f>
        <v>819.10543195401942</v>
      </c>
      <c r="E82">
        <f t="shared" si="2"/>
        <v>819.10543195401942</v>
      </c>
    </row>
    <row r="83" spans="1:5">
      <c r="A83" s="18">
        <v>41548</v>
      </c>
      <c r="B83" s="19">
        <v>81</v>
      </c>
      <c r="D83">
        <f>EXP('Model estimates'!$B$17+'Model estimates'!$B$18*'Webtraffic predictions'!B83)</f>
        <v>786.82128272219825</v>
      </c>
      <c r="E83">
        <f t="shared" si="2"/>
        <v>786.82128272219825</v>
      </c>
    </row>
    <row r="84" spans="1:5">
      <c r="A84" s="18">
        <v>41579</v>
      </c>
      <c r="B84" s="19">
        <v>82</v>
      </c>
      <c r="D84">
        <f>EXP('Model estimates'!$B$17+'Model estimates'!$B$18*'Webtraffic predictions'!B84)</f>
        <v>755.80957810002405</v>
      </c>
      <c r="E84">
        <f t="shared" si="2"/>
        <v>755.80957810002405</v>
      </c>
    </row>
    <row r="85" spans="1:5">
      <c r="A85" s="18">
        <v>41609</v>
      </c>
      <c r="B85" s="19">
        <v>83</v>
      </c>
      <c r="D85">
        <f>EXP('Model estimates'!$B$17+'Model estimates'!$B$18*'Webtraffic predictions'!B85)</f>
        <v>726.02016606791005</v>
      </c>
      <c r="E85">
        <f t="shared" si="2"/>
        <v>726.02016606791005</v>
      </c>
    </row>
    <row r="86" spans="1:5">
      <c r="A86" s="18">
        <v>41640</v>
      </c>
      <c r="B86" s="19">
        <v>84</v>
      </c>
      <c r="D86">
        <f>EXP('Model estimates'!$B$17+'Model estimates'!$B$18*'Webtraffic predictions'!B86)</f>
        <v>697.40487129354494</v>
      </c>
      <c r="E86">
        <f t="shared" si="2"/>
        <v>697.40487129354494</v>
      </c>
    </row>
    <row r="87" spans="1:5">
      <c r="A87" s="18">
        <v>41671</v>
      </c>
      <c r="B87" s="19">
        <v>85</v>
      </c>
      <c r="D87">
        <f>EXP('Model estimates'!$B$17+'Model estimates'!$B$18*'Webtraffic predictions'!B87)</f>
        <v>669.91741722291465</v>
      </c>
      <c r="E87">
        <f t="shared" si="2"/>
        <v>669.91741722291465</v>
      </c>
    </row>
    <row r="88" spans="1:5">
      <c r="A88" s="18">
        <v>41699</v>
      </c>
      <c r="B88" s="19">
        <v>86</v>
      </c>
      <c r="D88">
        <f>EXP('Model estimates'!$B$17+'Model estimates'!$B$18*'Webtraffic predictions'!B88)</f>
        <v>643.51335124202353</v>
      </c>
      <c r="E88">
        <f t="shared" si="2"/>
        <v>643.51335124202353</v>
      </c>
    </row>
    <row r="89" spans="1:5">
      <c r="A89" s="18">
        <v>41730</v>
      </c>
      <c r="B89" s="19">
        <v>87</v>
      </c>
      <c r="D89">
        <f>EXP('Model estimates'!$B$17+'Model estimates'!$B$18*'Webtraffic predictions'!B89)</f>
        <v>618.14997278827946</v>
      </c>
      <c r="E89">
        <f t="shared" si="2"/>
        <v>618.14997278827946</v>
      </c>
    </row>
    <row r="90" spans="1:5">
      <c r="A90" s="18">
        <v>41760</v>
      </c>
      <c r="B90" s="19">
        <v>88</v>
      </c>
      <c r="D90">
        <f>EXP('Model estimates'!$B$17+'Model estimates'!$B$18*'Webtraffic predictions'!B90)</f>
        <v>593.78626429530141</v>
      </c>
      <c r="E90">
        <f t="shared" si="2"/>
        <v>593.78626429530141</v>
      </c>
    </row>
    <row r="91" spans="1:5">
      <c r="A91" s="18">
        <v>41791</v>
      </c>
      <c r="B91" s="19">
        <v>89</v>
      </c>
      <c r="D91">
        <f>EXP('Model estimates'!$B$17+'Model estimates'!$B$18*'Webtraffic predictions'!B91)</f>
        <v>570.3828248594466</v>
      </c>
      <c r="E91">
        <f t="shared" si="2"/>
        <v>570.3828248594466</v>
      </c>
    </row>
    <row r="92" spans="1:5">
      <c r="A92" s="18">
        <v>41821</v>
      </c>
      <c r="B92" s="19">
        <v>90</v>
      </c>
      <c r="D92">
        <f>EXP('Model estimates'!$B$17+'Model estimates'!$B$18*'Webtraffic predictions'!B92)</f>
        <v>547.90180652081676</v>
      </c>
      <c r="E92">
        <f t="shared" si="2"/>
        <v>547.90180652081676</v>
      </c>
    </row>
    <row r="93" spans="1:5">
      <c r="A93" s="18">
        <v>41852</v>
      </c>
      <c r="B93" s="19">
        <v>91</v>
      </c>
      <c r="D93">
        <f>EXP('Model estimates'!$B$17+'Model estimates'!$B$18*'Webtraffic predictions'!B93)</f>
        <v>526.30685305566203</v>
      </c>
      <c r="E93">
        <f t="shared" si="2"/>
        <v>526.30685305566203</v>
      </c>
    </row>
    <row r="94" spans="1:5">
      <c r="A94" s="18">
        <v>41883</v>
      </c>
      <c r="B94" s="19">
        <v>92</v>
      </c>
      <c r="D94">
        <f>EXP('Model estimates'!$B$17+'Model estimates'!$B$18*'Webtraffic predictions'!B94)</f>
        <v>505.56304118123052</v>
      </c>
      <c r="E94">
        <f t="shared" si="2"/>
        <v>505.56304118123052</v>
      </c>
    </row>
    <row r="95" spans="1:5">
      <c r="A95" s="18">
        <v>41913</v>
      </c>
      <c r="B95" s="19">
        <v>93</v>
      </c>
      <c r="D95">
        <f>EXP('Model estimates'!$B$17+'Model estimates'!$B$18*'Webtraffic predictions'!B95)</f>
        <v>485.63682407795483</v>
      </c>
      <c r="E95">
        <f t="shared" si="2"/>
        <v>485.63682407795483</v>
      </c>
    </row>
    <row r="96" spans="1:5">
      <c r="A96" s="18">
        <v>41944</v>
      </c>
      <c r="B96" s="19">
        <v>94</v>
      </c>
      <c r="D96">
        <f>EXP('Model estimates'!$B$17+'Model estimates'!$B$18*'Webtraffic predictions'!B96)</f>
        <v>466.49597713765462</v>
      </c>
      <c r="E96">
        <f t="shared" si="2"/>
        <v>466.49597713765462</v>
      </c>
    </row>
    <row r="97" spans="1:5">
      <c r="A97" s="18">
        <v>41974</v>
      </c>
      <c r="B97" s="19">
        <v>95</v>
      </c>
      <c r="D97">
        <f>EXP('Model estimates'!$B$17+'Model estimates'!$B$18*'Webtraffic predictions'!B97)</f>
        <v>448.10954585001377</v>
      </c>
      <c r="E97">
        <f t="shared" si="2"/>
        <v>448.10954585001377</v>
      </c>
    </row>
    <row r="98" spans="1:5">
      <c r="A98" s="18">
        <v>42005</v>
      </c>
      <c r="B98" s="19">
        <v>96</v>
      </c>
      <c r="D98">
        <f>EXP('Model estimates'!$B$17+'Model estimates'!$B$18*'Webtraffic predictions'!B98)</f>
        <v>430.44779574305335</v>
      </c>
      <c r="E98">
        <f t="shared" si="2"/>
        <v>430.44779574305335</v>
      </c>
    </row>
    <row r="99" spans="1:5">
      <c r="A99" s="18">
        <v>42036</v>
      </c>
      <c r="B99" s="19">
        <v>97</v>
      </c>
      <c r="D99">
        <f>EXP('Model estimates'!$B$17+'Model estimates'!$B$18*'Webtraffic predictions'!B99)</f>
        <v>413.48216429665246</v>
      </c>
      <c r="E99">
        <f t="shared" si="2"/>
        <v>413.48216429665246</v>
      </c>
    </row>
    <row r="100" spans="1:5">
      <c r="A100" s="18">
        <v>42064</v>
      </c>
      <c r="B100" s="19">
        <v>98</v>
      </c>
      <c r="D100">
        <f>EXP('Model estimates'!$B$17+'Model estimates'!$B$18*'Webtraffic predictions'!B100)</f>
        <v>397.18521475133537</v>
      </c>
      <c r="E100">
        <f t="shared" si="2"/>
        <v>397.18521475133537</v>
      </c>
    </row>
    <row r="101" spans="1:5">
      <c r="A101" s="18">
        <v>42095</v>
      </c>
      <c r="B101" s="19">
        <v>99</v>
      </c>
      <c r="D101">
        <f>EXP('Model estimates'!$B$17+'Model estimates'!$B$18*'Webtraffic predictions'!B101)</f>
        <v>381.53059173764672</v>
      </c>
      <c r="E101">
        <f t="shared" si="2"/>
        <v>381.53059173764672</v>
      </c>
    </row>
    <row r="102" spans="1:5">
      <c r="A102" s="18">
        <v>42125</v>
      </c>
      <c r="B102" s="19">
        <v>100</v>
      </c>
      <c r="D102">
        <f>EXP('Model estimates'!$B$17+'Model estimates'!$B$18*'Webtraffic predictions'!B102)</f>
        <v>366.49297865433527</v>
      </c>
      <c r="E102">
        <f t="shared" si="2"/>
        <v>366.49297865433527</v>
      </c>
    </row>
    <row r="103" spans="1:5">
      <c r="A103" s="18">
        <v>42156</v>
      </c>
      <c r="B103" s="19">
        <v>101</v>
      </c>
      <c r="D103">
        <f>EXP('Model estimates'!$B$17+'Model estimates'!$B$18*'Webtraffic predictions'!B103)</f>
        <v>352.04805672643943</v>
      </c>
      <c r="E103">
        <f t="shared" si="2"/>
        <v>352.04805672643943</v>
      </c>
    </row>
    <row r="104" spans="1:5">
      <c r="A104" s="18">
        <v>42186</v>
      </c>
      <c r="B104" s="19">
        <v>102</v>
      </c>
      <c r="D104">
        <f>EXP('Model estimates'!$B$17+'Model estimates'!$B$18*'Webtraffic predictions'!B104)</f>
        <v>338.17246567704808</v>
      </c>
      <c r="E104">
        <f t="shared" si="2"/>
        <v>338.17246567704808</v>
      </c>
    </row>
    <row r="105" spans="1:5">
      <c r="A105" s="18">
        <v>42217</v>
      </c>
      <c r="B105" s="19">
        <v>103</v>
      </c>
      <c r="D105">
        <f>EXP('Model estimates'!$B$17+'Model estimates'!$B$18*'Webtraffic predictions'!B105)</f>
        <v>324.84376594914346</v>
      </c>
      <c r="E105">
        <f t="shared" si="2"/>
        <v>324.84376594914346</v>
      </c>
    </row>
    <row r="106" spans="1:5">
      <c r="A106" s="18">
        <v>42248</v>
      </c>
      <c r="B106" s="19">
        <v>104</v>
      </c>
      <c r="D106">
        <f>EXP('Model estimates'!$B$17+'Model estimates'!$B$18*'Webtraffic predictions'!B106)</f>
        <v>312.04040241642838</v>
      </c>
      <c r="E106">
        <f t="shared" si="2"/>
        <v>312.04040241642838</v>
      </c>
    </row>
    <row r="107" spans="1:5">
      <c r="A107" s="18">
        <v>42278</v>
      </c>
      <c r="B107" s="19">
        <v>105</v>
      </c>
      <c r="D107">
        <f>EXP('Model estimates'!$B$17+'Model estimates'!$B$18*'Webtraffic predictions'!B107)</f>
        <v>299.74166952445188</v>
      </c>
      <c r="E107">
        <f t="shared" si="2"/>
        <v>299.74166952445188</v>
      </c>
    </row>
    <row r="108" spans="1:5">
      <c r="A108" s="18">
        <v>42309</v>
      </c>
      <c r="B108" s="19">
        <v>106</v>
      </c>
      <c r="D108">
        <f>EXP('Model estimates'!$B$17+'Model estimates'!$B$18*'Webtraffic predictions'!B108)</f>
        <v>287.92767780565975</v>
      </c>
      <c r="E108">
        <f t="shared" si="2"/>
        <v>287.92767780565975</v>
      </c>
    </row>
    <row r="109" spans="1:5">
      <c r="A109" s="18">
        <v>42339</v>
      </c>
      <c r="B109" s="19">
        <v>107</v>
      </c>
      <c r="D109">
        <f>EXP('Model estimates'!$B$17+'Model estimates'!$B$18*'Webtraffic predictions'!B109)</f>
        <v>276.57932171421652</v>
      </c>
      <c r="E109">
        <f t="shared" si="2"/>
        <v>276.57932171421652</v>
      </c>
    </row>
    <row r="110" spans="1:5">
      <c r="A110" s="18">
        <v>42370</v>
      </c>
      <c r="B110" s="19">
        <v>108</v>
      </c>
      <c r="D110">
        <f>EXP('Model estimates'!$B$17+'Model estimates'!$B$18*'Webtraffic predictions'!B110)</f>
        <v>265.67824872858546</v>
      </c>
      <c r="E110">
        <f t="shared" si="2"/>
        <v>265.67824872858546</v>
      </c>
    </row>
    <row r="111" spans="1:5">
      <c r="A111" s="18">
        <v>42401</v>
      </c>
      <c r="B111" s="19">
        <v>109</v>
      </c>
      <c r="D111">
        <f>EXP('Model estimates'!$B$17+'Model estimates'!$B$18*'Webtraffic predictions'!B111)</f>
        <v>255.2068296718943</v>
      </c>
      <c r="E111">
        <f t="shared" si="2"/>
        <v>255.2068296718943</v>
      </c>
    </row>
    <row r="112" spans="1:5">
      <c r="A112" s="18">
        <v>42430</v>
      </c>
      <c r="B112" s="19">
        <v>110</v>
      </c>
      <c r="D112">
        <f>EXP('Model estimates'!$B$17+'Model estimates'!$B$18*'Webtraffic predictions'!B112)</f>
        <v>245.1481302020928</v>
      </c>
      <c r="E112">
        <f t="shared" si="2"/>
        <v>245.1481302020928</v>
      </c>
    </row>
    <row r="113" spans="1:5">
      <c r="A113" s="18">
        <v>42461</v>
      </c>
      <c r="B113" s="19">
        <v>111</v>
      </c>
      <c r="D113">
        <f>EXP('Model estimates'!$B$17+'Model estimates'!$B$18*'Webtraffic predictions'!B113)</f>
        <v>235.48588342579433</v>
      </c>
      <c r="E113">
        <f t="shared" si="2"/>
        <v>235.48588342579433</v>
      </c>
    </row>
    <row r="114" spans="1:5">
      <c r="A114" s="18">
        <v>42491</v>
      </c>
      <c r="B114" s="19">
        <v>112</v>
      </c>
      <c r="D114">
        <f>EXP('Model estimates'!$B$17+'Model estimates'!$B$18*'Webtraffic predictions'!B114)</f>
        <v>226.20446359151305</v>
      </c>
      <c r="E114">
        <f t="shared" si="2"/>
        <v>226.20446359151305</v>
      </c>
    </row>
    <row r="115" spans="1:5">
      <c r="A115" s="18">
        <v>42522</v>
      </c>
      <c r="B115" s="19">
        <v>113</v>
      </c>
      <c r="D115">
        <f>EXP('Model estimates'!$B$17+'Model estimates'!$B$18*'Webtraffic predictions'!B115)</f>
        <v>217.28886081975361</v>
      </c>
      <c r="E115">
        <f t="shared" si="2"/>
        <v>217.28886081975361</v>
      </c>
    </row>
    <row r="116" spans="1:5">
      <c r="A116" s="18">
        <v>42552</v>
      </c>
      <c r="B116" s="19">
        <v>114</v>
      </c>
      <c r="D116">
        <f>EXP('Model estimates'!$B$17+'Model estimates'!$B$18*'Webtraffic predictions'!B116)</f>
        <v>208.72465682908694</v>
      </c>
      <c r="E116">
        <f t="shared" si="2"/>
        <v>208.72465682908694</v>
      </c>
    </row>
    <row r="117" spans="1:5">
      <c r="A117" s="18">
        <v>42583</v>
      </c>
      <c r="B117" s="19">
        <v>115</v>
      </c>
      <c r="D117">
        <f>EXP('Model estimates'!$B$17+'Model estimates'!$B$18*'Webtraffic predictions'!B117)</f>
        <v>200.49800161895641</v>
      </c>
      <c r="E117">
        <f t="shared" si="2"/>
        <v>200.49800161895641</v>
      </c>
    </row>
    <row r="118" spans="1:5">
      <c r="A118" s="18">
        <v>42614</v>
      </c>
      <c r="B118" s="19">
        <v>116</v>
      </c>
      <c r="D118">
        <f>EXP('Model estimates'!$B$17+'Model estimates'!$B$18*'Webtraffic predictions'!B118)</f>
        <v>192.59559107150486</v>
      </c>
      <c r="E118">
        <f t="shared" si="2"/>
        <v>192.59559107150486</v>
      </c>
    </row>
    <row r="119" spans="1:5">
      <c r="A119" s="18">
        <v>42644</v>
      </c>
      <c r="B119" s="19">
        <v>117</v>
      </c>
      <c r="D119">
        <f>EXP('Model estimates'!$B$17+'Model estimates'!$B$18*'Webtraffic predictions'!B119)</f>
        <v>185.00464543620316</v>
      </c>
      <c r="E119">
        <f t="shared" si="2"/>
        <v>185.00464543620316</v>
      </c>
    </row>
    <row r="120" spans="1:5">
      <c r="A120" s="18">
        <v>42675</v>
      </c>
      <c r="B120" s="19">
        <v>118</v>
      </c>
      <c r="D120">
        <f>EXP('Model estimates'!$B$17+'Model estimates'!$B$18*'Webtraffic predictions'!B120)</f>
        <v>177.71288866248196</v>
      </c>
      <c r="E120">
        <f t="shared" si="2"/>
        <v>177.71288866248196</v>
      </c>
    </row>
    <row r="121" spans="1:5">
      <c r="A121" s="18">
        <v>42705</v>
      </c>
      <c r="B121" s="19">
        <v>119</v>
      </c>
      <c r="D121">
        <f>EXP('Model estimates'!$B$17+'Model estimates'!$B$18*'Webtraffic predictions'!B121)</f>
        <v>170.70852854694601</v>
      </c>
      <c r="E121">
        <f t="shared" si="2"/>
        <v>170.70852854694601</v>
      </c>
    </row>
    <row r="122" spans="1:5">
      <c r="A122" s="18">
        <v>42736</v>
      </c>
      <c r="B122" s="19">
        <v>120</v>
      </c>
      <c r="D122">
        <f>EXP('Model estimates'!$B$17+'Model estimates'!$B$18*'Webtraffic predictions'!B122)</f>
        <v>163.98023766306432</v>
      </c>
      <c r="E122">
        <f t="shared" si="2"/>
        <v>163.98023766306432</v>
      </c>
    </row>
    <row r="123" spans="1:5">
      <c r="A123" s="18">
        <v>42767</v>
      </c>
      <c r="B123" s="19">
        <v>121</v>
      </c>
      <c r="D123">
        <f>EXP('Model estimates'!$B$17+'Model estimates'!$B$18*'Webtraffic predictions'!B123)</f>
        <v>157.51713504249585</v>
      </c>
      <c r="E123">
        <f t="shared" si="2"/>
        <v>157.51713504249585</v>
      </c>
    </row>
    <row r="124" spans="1:5">
      <c r="A124" s="18">
        <v>42795</v>
      </c>
      <c r="B124" s="19">
        <v>122</v>
      </c>
      <c r="D124">
        <f>EXP('Model estimates'!$B$17+'Model estimates'!$B$18*'Webtraffic predictions'!B124)</f>
        <v>151.30876857842591</v>
      </c>
      <c r="E124">
        <f t="shared" si="2"/>
        <v>151.30876857842591</v>
      </c>
    </row>
    <row r="125" spans="1:5">
      <c r="A125" s="18">
        <v>42826</v>
      </c>
      <c r="B125" s="19">
        <v>123</v>
      </c>
      <c r="D125">
        <f>EXP('Model estimates'!$B$17+'Model estimates'!$B$18*'Webtraffic predictions'!B125)</f>
        <v>145.3450981224556</v>
      </c>
      <c r="E125">
        <f t="shared" si="2"/>
        <v>145.3450981224556</v>
      </c>
    </row>
    <row r="126" spans="1:5">
      <c r="A126" s="18">
        <v>42856</v>
      </c>
      <c r="B126" s="19">
        <v>124</v>
      </c>
      <c r="D126">
        <f>EXP('Model estimates'!$B$17+'Model estimates'!$B$18*'Webtraffic predictions'!B126)</f>
        <v>139.61647924770938</v>
      </c>
      <c r="E126">
        <f t="shared" si="2"/>
        <v>139.61647924770938</v>
      </c>
    </row>
    <row r="127" spans="1:5">
      <c r="A127" s="18">
        <v>42887</v>
      </c>
      <c r="B127" s="19">
        <v>125</v>
      </c>
      <c r="D127">
        <f>EXP('Model estimates'!$B$17+'Model estimates'!$B$18*'Webtraffic predictions'!B127)</f>
        <v>134.1136476519014</v>
      </c>
      <c r="E127">
        <f t="shared" si="2"/>
        <v>134.1136476519014</v>
      </c>
    </row>
    <row r="128" spans="1:5">
      <c r="A128" s="18">
        <v>42917</v>
      </c>
      <c r="B128" s="19">
        <v>126</v>
      </c>
      <c r="D128">
        <f>EXP('Model estimates'!$B$17+'Model estimates'!$B$18*'Webtraffic predictions'!B128)</f>
        <v>128.82770417513916</v>
      </c>
      <c r="E128">
        <f t="shared" si="2"/>
        <v>128.82770417513916</v>
      </c>
    </row>
    <row r="129" spans="1:5">
      <c r="A129" s="18">
        <v>42948</v>
      </c>
      <c r="B129" s="19">
        <v>127</v>
      </c>
      <c r="D129">
        <f>EXP('Model estimates'!$B$17+'Model estimates'!$B$18*'Webtraffic predictions'!B129)</f>
        <v>123.7501004082329</v>
      </c>
      <c r="E129">
        <f t="shared" si="2"/>
        <v>123.7501004082329</v>
      </c>
    </row>
    <row r="130" spans="1:5">
      <c r="A130" s="18">
        <v>42979</v>
      </c>
      <c r="B130" s="19">
        <v>128</v>
      </c>
      <c r="D130">
        <f>EXP('Model estimates'!$B$17+'Model estimates'!$B$18*'Webtraffic predictions'!B130)</f>
        <v>118.87262486823855</v>
      </c>
      <c r="E130">
        <f t="shared" si="2"/>
        <v>118.87262486823855</v>
      </c>
    </row>
    <row r="131" spans="1:5">
      <c r="A131" s="18">
        <v>43009</v>
      </c>
      <c r="B131" s="19">
        <v>129</v>
      </c>
      <c r="D131">
        <f>EXP('Model estimates'!$B$17+'Model estimates'!$B$18*'Webtraffic predictions'!B131)</f>
        <v>114.1873897188763</v>
      </c>
      <c r="E131">
        <f t="shared" ref="E131:E157" si="3">MIN(D131,MAX($C$4:$C$25))</f>
        <v>114.1873897188763</v>
      </c>
    </row>
    <row r="132" spans="1:5">
      <c r="A132" s="18">
        <v>43040</v>
      </c>
      <c r="B132" s="19">
        <v>130</v>
      </c>
      <c r="D132">
        <f>EXP('Model estimates'!$B$17+'Model estimates'!$B$18*'Webtraffic predictions'!B132)</f>
        <v>109.68681801434967</v>
      </c>
      <c r="E132">
        <f t="shared" si="3"/>
        <v>109.68681801434967</v>
      </c>
    </row>
    <row r="133" spans="1:5">
      <c r="A133" s="18">
        <v>43070</v>
      </c>
      <c r="B133" s="19">
        <v>131</v>
      </c>
      <c r="D133">
        <f>EXP('Model estimates'!$B$17+'Model estimates'!$B$18*'Webtraffic predictions'!B133)</f>
        <v>105.3636314459353</v>
      </c>
      <c r="E133">
        <f t="shared" si="3"/>
        <v>105.3636314459353</v>
      </c>
    </row>
    <row r="134" spans="1:5">
      <c r="A134" s="18">
        <v>43101</v>
      </c>
      <c r="B134" s="19">
        <v>132</v>
      </c>
      <c r="D134">
        <f>EXP('Model estimates'!$B$17+'Model estimates'!$B$18*'Webtraffic predictions'!B134)</f>
        <v>101.21083857152773</v>
      </c>
      <c r="E134">
        <f t="shared" si="3"/>
        <v>101.21083857152773</v>
      </c>
    </row>
    <row r="135" spans="1:5">
      <c r="A135" s="18">
        <v>43132</v>
      </c>
      <c r="B135" s="19">
        <v>133</v>
      </c>
      <c r="D135">
        <f>EXP('Model estimates'!$B$17+'Model estimates'!$B$18*'Webtraffic predictions'!B135)</f>
        <v>97.221723509103981</v>
      </c>
      <c r="E135">
        <f t="shared" si="3"/>
        <v>97.221723509103981</v>
      </c>
    </row>
    <row r="136" spans="1:5">
      <c r="A136" s="18">
        <v>43160</v>
      </c>
      <c r="B136" s="19">
        <v>134</v>
      </c>
      <c r="D136">
        <f>EXP('Model estimates'!$B$17+'Model estimates'!$B$18*'Webtraffic predictions'!B136)</f>
        <v>93.389835075822333</v>
      </c>
      <c r="E136">
        <f t="shared" si="3"/>
        <v>93.389835075822333</v>
      </c>
    </row>
    <row r="137" spans="1:5">
      <c r="A137" s="18">
        <v>43191</v>
      </c>
      <c r="B137" s="19">
        <v>135</v>
      </c>
      <c r="D137">
        <f>EXP('Model estimates'!$B$17+'Model estimates'!$B$18*'Webtraffic predictions'!B137)</f>
        <v>89.708976355192746</v>
      </c>
      <c r="E137">
        <f t="shared" si="3"/>
        <v>89.708976355192746</v>
      </c>
    </row>
    <row r="138" spans="1:5">
      <c r="A138" s="18">
        <v>43221</v>
      </c>
      <c r="B138" s="19">
        <v>136</v>
      </c>
      <c r="D138">
        <f>EXP('Model estimates'!$B$17+'Model estimates'!$B$18*'Webtraffic predictions'!B138)</f>
        <v>86.173194675444918</v>
      </c>
      <c r="E138">
        <f t="shared" si="3"/>
        <v>86.173194675444918</v>
      </c>
    </row>
    <row r="139" spans="1:5">
      <c r="A139" s="18">
        <v>43252</v>
      </c>
      <c r="B139" s="19">
        <v>137</v>
      </c>
      <c r="D139">
        <f>EXP('Model estimates'!$B$17+'Model estimates'!$B$18*'Webtraffic predictions'!B139)</f>
        <v>82.776771982888519</v>
      </c>
      <c r="E139">
        <f t="shared" si="3"/>
        <v>82.776771982888519</v>
      </c>
    </row>
    <row r="140" spans="1:5">
      <c r="A140" s="18">
        <v>43282</v>
      </c>
      <c r="B140" s="19">
        <v>138</v>
      </c>
      <c r="D140">
        <f>EXP('Model estimates'!$B$17+'Model estimates'!$B$18*'Webtraffic predictions'!B140)</f>
        <v>79.514215594696935</v>
      </c>
      <c r="E140">
        <f t="shared" si="3"/>
        <v>79.514215594696935</v>
      </c>
    </row>
    <row r="141" spans="1:5">
      <c r="A141" s="18">
        <v>43313</v>
      </c>
      <c r="B141" s="19">
        <v>139</v>
      </c>
      <c r="D141">
        <f>EXP('Model estimates'!$B$17+'Model estimates'!$B$18*'Webtraffic predictions'!B141)</f>
        <v>76.380249316159919</v>
      </c>
      <c r="E141">
        <f t="shared" si="3"/>
        <v>76.380249316159919</v>
      </c>
    </row>
    <row r="142" spans="1:5">
      <c r="A142" s="18">
        <v>43344</v>
      </c>
      <c r="B142" s="19">
        <v>140</v>
      </c>
      <c r="D142">
        <f>EXP('Model estimates'!$B$17+'Model estimates'!$B$18*'Webtraffic predictions'!B142)</f>
        <v>73.36980490804001</v>
      </c>
      <c r="E142">
        <f t="shared" si="3"/>
        <v>73.36980490804001</v>
      </c>
    </row>
    <row r="143" spans="1:5">
      <c r="A143" s="18">
        <v>43374</v>
      </c>
      <c r="B143" s="19">
        <v>141</v>
      </c>
      <c r="D143">
        <f>EXP('Model estimates'!$B$17+'Model estimates'!$B$18*'Webtraffic predictions'!B143)</f>
        <v>70.478013890233981</v>
      </c>
      <c r="E143">
        <f t="shared" si="3"/>
        <v>70.478013890233981</v>
      </c>
    </row>
    <row r="144" spans="1:5">
      <c r="A144" s="18">
        <v>43405</v>
      </c>
      <c r="B144" s="19">
        <v>142</v>
      </c>
      <c r="D144">
        <f>EXP('Model estimates'!$B$17+'Model estimates'!$B$18*'Webtraffic predictions'!B144)</f>
        <v>67.700199668483876</v>
      </c>
      <c r="E144">
        <f t="shared" si="3"/>
        <v>67.700199668483876</v>
      </c>
    </row>
    <row r="145" spans="1:5">
      <c r="A145" s="18">
        <v>43435</v>
      </c>
      <c r="B145" s="19">
        <v>143</v>
      </c>
      <c r="D145">
        <f>EXP('Model estimates'!$B$17+'Model estimates'!$B$18*'Webtraffic predictions'!B145)</f>
        <v>65.031869971405129</v>
      </c>
      <c r="E145">
        <f t="shared" si="3"/>
        <v>65.031869971405129</v>
      </c>
    </row>
    <row r="146" spans="1:5">
      <c r="A146" s="18">
        <v>43466</v>
      </c>
      <c r="B146" s="19">
        <v>144</v>
      </c>
      <c r="D146">
        <f>EXP('Model estimates'!$B$17+'Model estimates'!$B$18*'Webtraffic predictions'!B146)</f>
        <v>62.46870958560136</v>
      </c>
      <c r="E146">
        <f t="shared" si="3"/>
        <v>62.46870958560136</v>
      </c>
    </row>
    <row r="147" spans="1:5">
      <c r="A147" s="18">
        <v>43497</v>
      </c>
      <c r="B147" s="19">
        <v>145</v>
      </c>
      <c r="D147">
        <f>EXP('Model estimates'!$B$17+'Model estimates'!$B$18*'Webtraffic predictions'!B147)</f>
        <v>60.006573377116219</v>
      </c>
      <c r="E147">
        <f t="shared" si="3"/>
        <v>60.006573377116219</v>
      </c>
    </row>
    <row r="148" spans="1:5">
      <c r="A148" s="18">
        <v>43525</v>
      </c>
      <c r="B148" s="19">
        <v>146</v>
      </c>
      <c r="D148">
        <f>EXP('Model estimates'!$B$17+'Model estimates'!$B$18*'Webtraffic predictions'!B148)</f>
        <v>57.641479587937447</v>
      </c>
      <c r="E148">
        <f t="shared" si="3"/>
        <v>57.641479587937447</v>
      </c>
    </row>
    <row r="149" spans="1:5">
      <c r="A149" s="18">
        <v>43556</v>
      </c>
      <c r="B149" s="19">
        <v>147</v>
      </c>
      <c r="D149">
        <f>EXP('Model estimates'!$B$17+'Model estimates'!$B$18*'Webtraffic predictions'!B149)</f>
        <v>55.369603396711788</v>
      </c>
      <c r="E149">
        <f t="shared" si="3"/>
        <v>55.369603396711788</v>
      </c>
    </row>
    <row r="150" spans="1:5">
      <c r="A150" s="18">
        <v>43586</v>
      </c>
      <c r="B150" s="19">
        <v>148</v>
      </c>
      <c r="D150">
        <f>EXP('Model estimates'!$B$17+'Model estimates'!$B$18*'Webtraffic predictions'!B150)</f>
        <v>53.187270733257371</v>
      </c>
      <c r="E150">
        <f t="shared" si="3"/>
        <v>53.187270733257371</v>
      </c>
    </row>
    <row r="151" spans="1:5">
      <c r="A151" s="18">
        <v>43617</v>
      </c>
      <c r="B151" s="19">
        <v>149</v>
      </c>
      <c r="D151">
        <f>EXP('Model estimates'!$B$17+'Model estimates'!$B$18*'Webtraffic predictions'!B151)</f>
        <v>51.090952336870338</v>
      </c>
      <c r="E151">
        <f t="shared" si="3"/>
        <v>51.090952336870338</v>
      </c>
    </row>
    <row r="152" spans="1:5">
      <c r="A152" s="18">
        <v>43647</v>
      </c>
      <c r="B152" s="19">
        <v>150</v>
      </c>
      <c r="D152">
        <f>EXP('Model estimates'!$B$17+'Model estimates'!$B$18*'Webtraffic predictions'!B152)</f>
        <v>49.077258048816866</v>
      </c>
      <c r="E152">
        <f t="shared" si="3"/>
        <v>49.077258048816866</v>
      </c>
    </row>
    <row r="153" spans="1:5">
      <c r="A153" s="18">
        <v>43678</v>
      </c>
      <c r="B153" s="19">
        <v>151</v>
      </c>
      <c r="D153">
        <f>EXP('Model estimates'!$B$17+'Model estimates'!$B$18*'Webtraffic predictions'!B153)</f>
        <v>47.142931329780396</v>
      </c>
      <c r="E153">
        <f t="shared" si="3"/>
        <v>47.142931329780396</v>
      </c>
    </row>
    <row r="154" spans="1:5">
      <c r="A154" s="18">
        <v>43709</v>
      </c>
      <c r="B154" s="19">
        <v>152</v>
      </c>
      <c r="D154">
        <f>EXP('Model estimates'!$B$17+'Model estimates'!$B$18*'Webtraffic predictions'!B154)</f>
        <v>45.284843993397594</v>
      </c>
      <c r="E154">
        <f t="shared" si="3"/>
        <v>45.284843993397594</v>
      </c>
    </row>
    <row r="155" spans="1:5">
      <c r="A155" s="18">
        <v>43739</v>
      </c>
      <c r="B155" s="19">
        <v>153</v>
      </c>
      <c r="D155">
        <f>EXP('Model estimates'!$B$17+'Model estimates'!$B$18*'Webtraffic predictions'!B155)</f>
        <v>43.499991147366586</v>
      </c>
      <c r="E155">
        <f t="shared" si="3"/>
        <v>43.499991147366586</v>
      </c>
    </row>
    <row r="156" spans="1:5">
      <c r="A156" s="18">
        <v>43770</v>
      </c>
      <c r="B156" s="19">
        <v>154</v>
      </c>
      <c r="D156">
        <f>EXP('Model estimates'!$B$17+'Model estimates'!$B$18*'Webtraffic predictions'!B156)</f>
        <v>41.785486333945549</v>
      </c>
      <c r="E156">
        <f t="shared" si="3"/>
        <v>41.785486333945549</v>
      </c>
    </row>
    <row r="157" spans="1:5">
      <c r="A157" s="18">
        <v>43800</v>
      </c>
      <c r="B157" s="19">
        <v>155</v>
      </c>
      <c r="D157">
        <f>EXP('Model estimates'!$B$17+'Model estimates'!$B$18*'Webtraffic predictions'!B157)</f>
        <v>40.138556861983453</v>
      </c>
      <c r="E157">
        <f t="shared" si="3"/>
        <v>40.138556861983453</v>
      </c>
    </row>
    <row r="158" spans="1:5">
      <c r="E158">
        <f>SUM(E2:E157)</f>
        <v>513259.38159364398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:I18"/>
    </sheetView>
  </sheetViews>
  <sheetFormatPr defaultRowHeight="15"/>
  <sheetData>
    <row r="1" spans="1:9">
      <c r="A1" t="s">
        <v>200</v>
      </c>
    </row>
    <row r="2" spans="1:9" ht="15.75" thickBot="1"/>
    <row r="3" spans="1:9">
      <c r="A3" s="23" t="s">
        <v>201</v>
      </c>
      <c r="B3" s="23"/>
    </row>
    <row r="4" spans="1:9">
      <c r="A4" s="20" t="s">
        <v>202</v>
      </c>
      <c r="B4" s="20">
        <v>0.91480552790948177</v>
      </c>
    </row>
    <row r="5" spans="1:9">
      <c r="A5" s="20" t="s">
        <v>203</v>
      </c>
      <c r="B5" s="20">
        <v>0.83686915389374572</v>
      </c>
    </row>
    <row r="6" spans="1:9">
      <c r="A6" s="20" t="s">
        <v>204</v>
      </c>
      <c r="B6" s="20">
        <v>0.83124395230387482</v>
      </c>
    </row>
    <row r="7" spans="1:9">
      <c r="A7" s="20" t="s">
        <v>205</v>
      </c>
      <c r="B7" s="20">
        <v>0.54277126382824292</v>
      </c>
    </row>
    <row r="8" spans="1:9" ht="15.75" thickBot="1">
      <c r="A8" s="21" t="s">
        <v>206</v>
      </c>
      <c r="B8" s="21">
        <v>31</v>
      </c>
    </row>
    <row r="10" spans="1:9" ht="15.75" thickBot="1">
      <c r="A10" t="s">
        <v>207</v>
      </c>
    </row>
    <row r="11" spans="1:9">
      <c r="A11" s="22"/>
      <c r="B11" s="22" t="s">
        <v>212</v>
      </c>
      <c r="C11" s="22" t="s">
        <v>213</v>
      </c>
      <c r="D11" s="22" t="s">
        <v>214</v>
      </c>
      <c r="E11" s="22" t="s">
        <v>215</v>
      </c>
      <c r="F11" s="22" t="s">
        <v>216</v>
      </c>
    </row>
    <row r="12" spans="1:9">
      <c r="A12" s="20" t="s">
        <v>208</v>
      </c>
      <c r="B12" s="20">
        <v>1</v>
      </c>
      <c r="C12" s="20">
        <v>43.828152368055072</v>
      </c>
      <c r="D12" s="20">
        <v>43.828152368055072</v>
      </c>
      <c r="E12" s="20">
        <v>148.77140677067925</v>
      </c>
      <c r="F12" s="20">
        <v>6.0918652441323639E-13</v>
      </c>
    </row>
    <row r="13" spans="1:9">
      <c r="A13" s="20" t="s">
        <v>209</v>
      </c>
      <c r="B13" s="20">
        <v>29</v>
      </c>
      <c r="C13" s="20">
        <v>8.5434187002935325</v>
      </c>
      <c r="D13" s="20">
        <v>0.29460064483770804</v>
      </c>
      <c r="E13" s="20"/>
      <c r="F13" s="20"/>
    </row>
    <row r="14" spans="1:9" ht="15.75" thickBot="1">
      <c r="A14" s="21" t="s">
        <v>210</v>
      </c>
      <c r="B14" s="21">
        <v>30</v>
      </c>
      <c r="C14" s="21">
        <v>52.371571068348601</v>
      </c>
      <c r="D14" s="21"/>
      <c r="E14" s="21"/>
      <c r="F14" s="21"/>
    </row>
    <row r="15" spans="1:9" ht="15.75" thickBot="1"/>
    <row r="16" spans="1:9">
      <c r="A16" s="22"/>
      <c r="B16" s="22" t="s">
        <v>217</v>
      </c>
      <c r="C16" s="22" t="s">
        <v>205</v>
      </c>
      <c r="D16" s="22" t="s">
        <v>218</v>
      </c>
      <c r="E16" s="22" t="s">
        <v>219</v>
      </c>
      <c r="F16" s="22" t="s">
        <v>220</v>
      </c>
      <c r="G16" s="22" t="s">
        <v>221</v>
      </c>
      <c r="H16" s="22" t="s">
        <v>222</v>
      </c>
      <c r="I16" s="22" t="s">
        <v>223</v>
      </c>
    </row>
    <row r="17" spans="1:9">
      <c r="A17" s="20" t="s">
        <v>211</v>
      </c>
      <c r="B17" s="20">
        <v>9.9251465873194959</v>
      </c>
      <c r="C17" s="20">
        <v>0.15350596956708365</v>
      </c>
      <c r="D17" s="20">
        <v>64.656420954249</v>
      </c>
      <c r="E17" s="20">
        <v>6.635919115757065E-33</v>
      </c>
      <c r="F17" s="20">
        <v>9.6111916281165755</v>
      </c>
      <c r="G17" s="20">
        <v>10.239101546522416</v>
      </c>
      <c r="H17" s="20">
        <v>9.6111916281165755</v>
      </c>
      <c r="I17" s="20">
        <v>10.239101546522416</v>
      </c>
    </row>
    <row r="18" spans="1:9" ht="15.75" thickBot="1">
      <c r="A18" s="21" t="s">
        <v>224</v>
      </c>
      <c r="B18" s="21">
        <v>-4.0211672240089494E-2</v>
      </c>
      <c r="C18" s="21">
        <v>3.2967984640261579E-3</v>
      </c>
      <c r="D18" s="21">
        <v>-12.197188478115731</v>
      </c>
      <c r="E18" s="21">
        <v>6.0918652441324093E-13</v>
      </c>
      <c r="F18" s="21">
        <v>-4.695438218285336E-2</v>
      </c>
      <c r="G18" s="21">
        <v>-3.3468962297325627E-2</v>
      </c>
      <c r="H18" s="21">
        <v>-4.695438218285336E-2</v>
      </c>
      <c r="I18" s="21">
        <v>-3.3468962297325627E-2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Consumer Preference Profile</vt:lpstr>
      <vt:lpstr>Totals</vt:lpstr>
      <vt:lpstr>Parameters</vt:lpstr>
      <vt:lpstr>Impressions</vt:lpstr>
      <vt:lpstr>Print</vt:lpstr>
      <vt:lpstr>Digital</vt:lpstr>
      <vt:lpstr>Direct Marketing Profile</vt:lpstr>
      <vt:lpstr>Webtraffic predictions</vt:lpstr>
      <vt:lpstr>Model estimates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Jeziorski</dc:creator>
  <cp:lastModifiedBy>Taeva Shefler</cp:lastModifiedBy>
  <dcterms:created xsi:type="dcterms:W3CDTF">2021-05-04T02:02:45Z</dcterms:created>
  <dcterms:modified xsi:type="dcterms:W3CDTF">2022-05-23T20:28:03Z</dcterms:modified>
</cp:coreProperties>
</file>