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9555" windowHeight="8505" tabRatio="882"/>
  </bookViews>
  <sheets>
    <sheet name="PFM Rev Model-Bottoms Up" sheetId="8" r:id="rId1"/>
    <sheet name="Valuation" sheetId="1" r:id="rId2"/>
    <sheet name="Store Build" sheetId="9" r:id="rId3"/>
    <sheet name="Company Rev Model" sheetId="12" r:id="rId4"/>
    <sheet name="High Growth Comps" sheetId="13" r:id="rId5"/>
    <sheet name="Outputs" sheetId="15" r:id="rId6"/>
    <sheet name="Charts" sheetId="14" r:id="rId7"/>
    <sheet name="Census Data" sheetId="10" r:id="rId8"/>
    <sheet name="Census Data (2)" sheetId="16" r:id="rId9"/>
    <sheet name="Macro Assumptions" sheetId="2" r:id="rId10"/>
    <sheet name="Theranos Market Assumptions" sheetId="3" r:id="rId11"/>
    <sheet name="ProForma Income Stmt" sheetId="4" r:id="rId12"/>
    <sheet name="Summary CF Stmt" sheetId="5" r:id="rId13"/>
    <sheet name="Balance Sheet" sheetId="6" r:id="rId14"/>
  </sheets>
  <definedNames>
    <definedName name="AVG_RUNTIME_G1" localSheetId="8">#REF!</definedName>
    <definedName name="AVG_RUNTIME_G1">#REF!</definedName>
    <definedName name="AVG_RUNTIME_G2" localSheetId="8">#REF!</definedName>
    <definedName name="AVG_RUNTIME_G2">#REF!</definedName>
    <definedName name="D_DAY_RATE_RX_2015" localSheetId="8">#REF!</definedName>
    <definedName name="D_DAY_RATE_RX_2015">#REF!</definedName>
    <definedName name="DEVICE_COST" localSheetId="8">#REF!</definedName>
    <definedName name="DEVICE_COST">#REF!</definedName>
    <definedName name="DEVICE_COST_HIGH_V">'Macro Assumptions'!$B$6</definedName>
    <definedName name="HOSPITAL_NUM_ML_2015" localSheetId="8">#REF!</definedName>
    <definedName name="HOSPITAL_NUM_ML_2015">#REF!</definedName>
    <definedName name="ICU_ER_PANEL_PRICE" localSheetId="8">#REF!</definedName>
    <definedName name="ICU_ER_PANEL_PRICE">#REF!</definedName>
    <definedName name="_xlnm.Print_Area" localSheetId="3">'Company Rev Model'!$A$1:$S$183</definedName>
    <definedName name="_xlnm.Print_Area" localSheetId="0">'PFM Rev Model-Bottoms Up'!$A$1:$S$190</definedName>
    <definedName name="RX_SALES_PRICE" localSheetId="8">#REF!</definedName>
    <definedName name="RX_SALES_PRICE">#REF!</definedName>
  </definedNames>
  <calcPr calcId="145621"/>
</workbook>
</file>

<file path=xl/calcChain.xml><?xml version="1.0" encoding="utf-8"?>
<calcChain xmlns="http://schemas.openxmlformats.org/spreadsheetml/2006/main">
  <c r="B7" i="16" l="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J242" i="16"/>
  <c r="I242" i="16"/>
  <c r="J75" i="16"/>
  <c r="I75" i="16"/>
  <c r="J34" i="16"/>
  <c r="I34" i="16"/>
  <c r="D20" i="15" l="1"/>
  <c r="E20" i="15"/>
  <c r="F20" i="15"/>
  <c r="C20" i="15"/>
  <c r="E16" i="15"/>
  <c r="F16" i="15"/>
  <c r="D16" i="15"/>
  <c r="C16" i="15"/>
  <c r="H29" i="1"/>
  <c r="I29" i="1" s="1"/>
  <c r="G29" i="1"/>
  <c r="F29" i="1"/>
  <c r="E29" i="1"/>
  <c r="D31" i="1"/>
  <c r="B32" i="13"/>
  <c r="C32" i="13"/>
  <c r="D32" i="13"/>
  <c r="E32" i="13"/>
  <c r="F32" i="13"/>
  <c r="G32" i="13"/>
  <c r="H32" i="13"/>
  <c r="I32" i="13"/>
  <c r="A32" i="13"/>
  <c r="A19" i="13"/>
  <c r="B9" i="15"/>
  <c r="F106" i="9"/>
  <c r="B8" i="15"/>
  <c r="A42" i="13"/>
  <c r="J29" i="1" l="1"/>
  <c r="H64" i="13"/>
  <c r="E64" i="13"/>
  <c r="H63" i="13"/>
  <c r="E63" i="13"/>
  <c r="H62" i="13"/>
  <c r="E62" i="13"/>
  <c r="H61" i="13"/>
  <c r="E61" i="13"/>
  <c r="H60" i="13"/>
  <c r="E60" i="13"/>
  <c r="H59" i="13"/>
  <c r="E59" i="13"/>
  <c r="F35" i="13"/>
  <c r="K29" i="1" l="1"/>
  <c r="D34" i="13"/>
  <c r="E34" i="13"/>
  <c r="F34" i="13"/>
  <c r="G34" i="13"/>
  <c r="H34" i="13"/>
  <c r="I34" i="13"/>
  <c r="B33" i="13"/>
  <c r="C33" i="13"/>
  <c r="D33" i="13"/>
  <c r="E33" i="13"/>
  <c r="F33" i="13"/>
  <c r="G33" i="13"/>
  <c r="H33" i="13"/>
  <c r="I33" i="13"/>
  <c r="A21" i="13"/>
  <c r="A34" i="13" s="1"/>
  <c r="A61" i="13" s="1"/>
  <c r="A71" i="13" s="1"/>
  <c r="A20" i="13"/>
  <c r="A33" i="13" s="1"/>
  <c r="A60" i="13" s="1"/>
  <c r="A70" i="13" s="1"/>
  <c r="A26" i="13"/>
  <c r="B2" i="15"/>
  <c r="C3" i="15"/>
  <c r="D3" i="15" s="1"/>
  <c r="E3" i="15" s="1"/>
  <c r="F3" i="15" s="1"/>
  <c r="E8" i="14"/>
  <c r="B7" i="14"/>
  <c r="H37" i="13"/>
  <c r="I37" i="13"/>
  <c r="H36" i="13"/>
  <c r="I36" i="13"/>
  <c r="H31" i="13"/>
  <c r="I31" i="13"/>
  <c r="I35" i="13"/>
  <c r="H35" i="13"/>
  <c r="G37" i="13"/>
  <c r="F36" i="13"/>
  <c r="G36" i="13"/>
  <c r="B31" i="13"/>
  <c r="C31" i="13"/>
  <c r="D31" i="13"/>
  <c r="E31" i="13"/>
  <c r="F31" i="13"/>
  <c r="G31" i="13"/>
  <c r="G35" i="13"/>
  <c r="L29" i="1" l="1"/>
  <c r="G26" i="13"/>
  <c r="B17" i="13"/>
  <c r="B30" i="13" s="1"/>
  <c r="C3" i="13"/>
  <c r="D3" i="13" s="1"/>
  <c r="E3" i="13" s="1"/>
  <c r="F3" i="13" s="1"/>
  <c r="G3" i="13" s="1"/>
  <c r="M29" i="1" l="1"/>
  <c r="F17" i="13"/>
  <c r="E17" i="13"/>
  <c r="E30" i="13" s="1"/>
  <c r="D17" i="13"/>
  <c r="D30" i="13" s="1"/>
  <c r="C17" i="13"/>
  <c r="C30" i="13" s="1"/>
  <c r="N29" i="1" l="1"/>
  <c r="G17" i="13"/>
  <c r="F30" i="13"/>
  <c r="A22" i="13"/>
  <c r="A35" i="13" s="1"/>
  <c r="A62" i="13" s="1"/>
  <c r="A72" i="13" s="1"/>
  <c r="A24" i="13"/>
  <c r="A37" i="13" s="1"/>
  <c r="A64" i="13" s="1"/>
  <c r="A74" i="13" s="1"/>
  <c r="A23" i="13"/>
  <c r="A36" i="13" s="1"/>
  <c r="A63" i="13" s="1"/>
  <c r="A73" i="13" s="1"/>
  <c r="A18" i="13"/>
  <c r="A31" i="13" s="1"/>
  <c r="A59" i="13" s="1"/>
  <c r="A69" i="13" s="1"/>
  <c r="H17" i="13" l="1"/>
  <c r="G30" i="13"/>
  <c r="J37" i="1"/>
  <c r="I154" i="8"/>
  <c r="I17" i="13" l="1"/>
  <c r="I30" i="13" s="1"/>
  <c r="H30" i="13"/>
  <c r="A114" i="8"/>
  <c r="E74" i="9"/>
  <c r="G79" i="9" s="1"/>
  <c r="Q117" i="12"/>
  <c r="P117" i="12"/>
  <c r="Q183" i="12"/>
  <c r="P183" i="12"/>
  <c r="O183" i="12"/>
  <c r="M183" i="12"/>
  <c r="L183" i="12"/>
  <c r="K183" i="12"/>
  <c r="J183" i="12"/>
  <c r="N183" i="12" s="1"/>
  <c r="H183" i="12"/>
  <c r="G183" i="12"/>
  <c r="F183" i="12"/>
  <c r="I183" i="12" s="1"/>
  <c r="E183" i="12"/>
  <c r="Q181" i="12"/>
  <c r="P181" i="12"/>
  <c r="O181" i="12"/>
  <c r="M181" i="12"/>
  <c r="L181" i="12"/>
  <c r="K181" i="12"/>
  <c r="J181" i="12"/>
  <c r="N181" i="12" s="1"/>
  <c r="H181" i="12"/>
  <c r="G181" i="12"/>
  <c r="I181" i="12" s="1"/>
  <c r="F181" i="12"/>
  <c r="E181" i="12"/>
  <c r="Q180" i="12"/>
  <c r="Q42" i="12" s="1"/>
  <c r="P180" i="12"/>
  <c r="P42" i="12" s="1"/>
  <c r="O180" i="12"/>
  <c r="O42" i="12" s="1"/>
  <c r="N180" i="12"/>
  <c r="N42" i="12" s="1"/>
  <c r="M180" i="12"/>
  <c r="M42" i="12" s="1"/>
  <c r="L180" i="12"/>
  <c r="L42" i="12" s="1"/>
  <c r="K180" i="12"/>
  <c r="K42" i="12" s="1"/>
  <c r="J180" i="12"/>
  <c r="J42" i="12" s="1"/>
  <c r="I180" i="12"/>
  <c r="I42" i="12" s="1"/>
  <c r="H180" i="12"/>
  <c r="H42" i="12" s="1"/>
  <c r="G180" i="12"/>
  <c r="G42" i="12" s="1"/>
  <c r="F180" i="12"/>
  <c r="F42" i="12" s="1"/>
  <c r="E180" i="12"/>
  <c r="E42" i="12" s="1"/>
  <c r="A180" i="12"/>
  <c r="O177" i="12"/>
  <c r="N177" i="12"/>
  <c r="P176" i="12"/>
  <c r="P175" i="12" s="1"/>
  <c r="O176" i="12"/>
  <c r="N176" i="12"/>
  <c r="M176" i="12"/>
  <c r="L176" i="12"/>
  <c r="K176" i="12"/>
  <c r="J176" i="12"/>
  <c r="I176" i="12"/>
  <c r="I174" i="12" s="1"/>
  <c r="I40" i="12" s="1"/>
  <c r="H176" i="12"/>
  <c r="H174" i="12" s="1"/>
  <c r="H40" i="12" s="1"/>
  <c r="G176" i="12"/>
  <c r="G174" i="12" s="1"/>
  <c r="G40" i="12" s="1"/>
  <c r="F176" i="12"/>
  <c r="E176" i="12"/>
  <c r="E174" i="12" s="1"/>
  <c r="E40" i="12" s="1"/>
  <c r="O175" i="12"/>
  <c r="N175" i="12"/>
  <c r="I175" i="12"/>
  <c r="O174" i="12"/>
  <c r="O40" i="12" s="1"/>
  <c r="N174" i="12"/>
  <c r="N40" i="12" s="1"/>
  <c r="M174" i="12"/>
  <c r="M40" i="12" s="1"/>
  <c r="L174" i="12"/>
  <c r="L40" i="12" s="1"/>
  <c r="K174" i="12"/>
  <c r="K40" i="12" s="1"/>
  <c r="J174" i="12"/>
  <c r="J40" i="12" s="1"/>
  <c r="F174" i="12"/>
  <c r="F40" i="12" s="1"/>
  <c r="A174" i="12"/>
  <c r="Q169" i="12"/>
  <c r="P169" i="12"/>
  <c r="O169" i="12"/>
  <c r="M169" i="12"/>
  <c r="L169" i="12"/>
  <c r="N169" i="12" s="1"/>
  <c r="K169" i="12"/>
  <c r="J169" i="12"/>
  <c r="H169" i="12"/>
  <c r="G169" i="12"/>
  <c r="F169" i="12"/>
  <c r="E169" i="12"/>
  <c r="Q167" i="12"/>
  <c r="P167" i="12"/>
  <c r="O167" i="12"/>
  <c r="M167" i="12"/>
  <c r="N167" i="12" s="1"/>
  <c r="L167" i="12"/>
  <c r="K167" i="12"/>
  <c r="J167" i="12"/>
  <c r="H167" i="12"/>
  <c r="I167" i="12" s="1"/>
  <c r="G167" i="12"/>
  <c r="F167" i="12"/>
  <c r="E167" i="12"/>
  <c r="Q166" i="12"/>
  <c r="Q34" i="12" s="1"/>
  <c r="P166" i="12"/>
  <c r="P34" i="12" s="1"/>
  <c r="O166" i="12"/>
  <c r="O34" i="12" s="1"/>
  <c r="N166" i="12"/>
  <c r="N34" i="12" s="1"/>
  <c r="M166" i="12"/>
  <c r="M34" i="12" s="1"/>
  <c r="L166" i="12"/>
  <c r="L34" i="12" s="1"/>
  <c r="K166" i="12"/>
  <c r="K34" i="12" s="1"/>
  <c r="J166" i="12"/>
  <c r="J34" i="12" s="1"/>
  <c r="I166" i="12"/>
  <c r="I34" i="12" s="1"/>
  <c r="H166" i="12"/>
  <c r="H34" i="12" s="1"/>
  <c r="G166" i="12"/>
  <c r="G34" i="12" s="1"/>
  <c r="F166" i="12"/>
  <c r="F34" i="12" s="1"/>
  <c r="E166" i="12"/>
  <c r="E34" i="12" s="1"/>
  <c r="A166" i="12"/>
  <c r="L163" i="12"/>
  <c r="K163" i="12"/>
  <c r="J163" i="12"/>
  <c r="H163" i="12"/>
  <c r="O162" i="12"/>
  <c r="O163" i="12" s="1"/>
  <c r="N162" i="12"/>
  <c r="M162" i="12"/>
  <c r="L162" i="12"/>
  <c r="K162" i="12"/>
  <c r="K161" i="12" s="1"/>
  <c r="J162" i="12"/>
  <c r="J161" i="12" s="1"/>
  <c r="I162" i="12"/>
  <c r="H162" i="12"/>
  <c r="H161" i="12" s="1"/>
  <c r="G162" i="12"/>
  <c r="G163" i="12" s="1"/>
  <c r="F162" i="12"/>
  <c r="F163" i="12" s="1"/>
  <c r="E162" i="12"/>
  <c r="E163" i="12" s="1"/>
  <c r="I163" i="12" s="1"/>
  <c r="O161" i="12"/>
  <c r="L161" i="12"/>
  <c r="G161" i="12"/>
  <c r="I161" i="12" s="1"/>
  <c r="O160" i="12"/>
  <c r="O32" i="12" s="1"/>
  <c r="N160" i="12"/>
  <c r="N32" i="12" s="1"/>
  <c r="L160" i="12"/>
  <c r="L32" i="12" s="1"/>
  <c r="K160" i="12"/>
  <c r="K32" i="12" s="1"/>
  <c r="J160" i="12"/>
  <c r="J32" i="12" s="1"/>
  <c r="I160" i="12"/>
  <c r="I32" i="12" s="1"/>
  <c r="H160" i="12"/>
  <c r="H32" i="12" s="1"/>
  <c r="G160" i="12"/>
  <c r="G32" i="12" s="1"/>
  <c r="F160" i="12"/>
  <c r="F32" i="12" s="1"/>
  <c r="E160" i="12"/>
  <c r="E32" i="12" s="1"/>
  <c r="A160" i="12"/>
  <c r="Q155" i="12"/>
  <c r="P155" i="12"/>
  <c r="O155" i="12"/>
  <c r="M155" i="12"/>
  <c r="L155" i="12"/>
  <c r="K155" i="12"/>
  <c r="J155" i="12"/>
  <c r="N155" i="12" s="1"/>
  <c r="H155" i="12"/>
  <c r="G155" i="12"/>
  <c r="I155" i="12" s="1"/>
  <c r="F155" i="12"/>
  <c r="E155" i="12"/>
  <c r="Q153" i="12"/>
  <c r="P153" i="12"/>
  <c r="O153" i="12"/>
  <c r="M153" i="12"/>
  <c r="L153" i="12"/>
  <c r="K153" i="12"/>
  <c r="N153" i="12" s="1"/>
  <c r="J153" i="12"/>
  <c r="H153" i="12"/>
  <c r="I153" i="12" s="1"/>
  <c r="G153" i="12"/>
  <c r="F153" i="12"/>
  <c r="E153" i="12"/>
  <c r="Q152" i="12"/>
  <c r="Q26" i="12" s="1"/>
  <c r="P152" i="12"/>
  <c r="P26" i="12" s="1"/>
  <c r="O152" i="12"/>
  <c r="O26" i="12" s="1"/>
  <c r="N152" i="12"/>
  <c r="N26" i="12" s="1"/>
  <c r="M152" i="12"/>
  <c r="M26" i="12" s="1"/>
  <c r="L152" i="12"/>
  <c r="L26" i="12" s="1"/>
  <c r="K152" i="12"/>
  <c r="K26" i="12" s="1"/>
  <c r="J152" i="12"/>
  <c r="J26" i="12" s="1"/>
  <c r="I152" i="12"/>
  <c r="I26" i="12" s="1"/>
  <c r="H152" i="12"/>
  <c r="H26" i="12" s="1"/>
  <c r="G152" i="12"/>
  <c r="G26" i="12" s="1"/>
  <c r="F152" i="12"/>
  <c r="F26" i="12" s="1"/>
  <c r="E152" i="12"/>
  <c r="E26" i="12" s="1"/>
  <c r="A152" i="12"/>
  <c r="P149" i="12"/>
  <c r="O149" i="12"/>
  <c r="I149" i="12"/>
  <c r="O148" i="12"/>
  <c r="P148" i="12" s="1"/>
  <c r="N148" i="12"/>
  <c r="M148" i="12"/>
  <c r="M146" i="12" s="1"/>
  <c r="M24" i="12" s="1"/>
  <c r="L148" i="12"/>
  <c r="L146" i="12" s="1"/>
  <c r="L24" i="12" s="1"/>
  <c r="K148" i="12"/>
  <c r="K146" i="12" s="1"/>
  <c r="K24" i="12" s="1"/>
  <c r="J148" i="12"/>
  <c r="J149" i="12" s="1"/>
  <c r="I148" i="12"/>
  <c r="I147" i="12" s="1"/>
  <c r="H148" i="12"/>
  <c r="H146" i="12" s="1"/>
  <c r="H24" i="12" s="1"/>
  <c r="G148" i="12"/>
  <c r="F148" i="12"/>
  <c r="E148" i="12"/>
  <c r="O147" i="12"/>
  <c r="N147" i="12"/>
  <c r="P146" i="12"/>
  <c r="P24" i="12" s="1"/>
  <c r="O146" i="12"/>
  <c r="O24" i="12" s="1"/>
  <c r="N146" i="12"/>
  <c r="N24" i="12" s="1"/>
  <c r="J146" i="12"/>
  <c r="J24" i="12" s="1"/>
  <c r="I146" i="12"/>
  <c r="I24" i="12" s="1"/>
  <c r="G146" i="12"/>
  <c r="G24" i="12" s="1"/>
  <c r="F146" i="12"/>
  <c r="F24" i="12" s="1"/>
  <c r="E146" i="12"/>
  <c r="E24" i="12" s="1"/>
  <c r="A146" i="12"/>
  <c r="L141" i="12"/>
  <c r="K141" i="12"/>
  <c r="J141" i="12"/>
  <c r="N141" i="12" s="1"/>
  <c r="N140" i="12"/>
  <c r="O140" i="12" s="1"/>
  <c r="M140" i="12"/>
  <c r="M141" i="12" s="1"/>
  <c r="L140" i="12"/>
  <c r="K140" i="12"/>
  <c r="J140" i="12"/>
  <c r="N139" i="12"/>
  <c r="N138" i="12"/>
  <c r="N13" i="12" s="1"/>
  <c r="M138" i="12"/>
  <c r="M13" i="12" s="1"/>
  <c r="L138" i="12"/>
  <c r="L13" i="12" s="1"/>
  <c r="K138" i="12"/>
  <c r="K13" i="12" s="1"/>
  <c r="J138" i="12"/>
  <c r="J13" i="12" s="1"/>
  <c r="E138" i="12"/>
  <c r="E13" i="12" s="1"/>
  <c r="A138" i="12"/>
  <c r="O135" i="12"/>
  <c r="M135" i="12"/>
  <c r="L135" i="12"/>
  <c r="K135" i="12"/>
  <c r="N135" i="12" s="1"/>
  <c r="N134" i="12"/>
  <c r="O134" i="12" s="1"/>
  <c r="M134" i="12"/>
  <c r="M132" i="12" s="1"/>
  <c r="M12" i="12" s="1"/>
  <c r="L134" i="12"/>
  <c r="L132" i="12" s="1"/>
  <c r="L12" i="12" s="1"/>
  <c r="K134" i="12"/>
  <c r="J134" i="12"/>
  <c r="J135" i="12" s="1"/>
  <c r="H134" i="12"/>
  <c r="G134" i="12"/>
  <c r="G132" i="12" s="1"/>
  <c r="G12" i="12" s="1"/>
  <c r="F134" i="12"/>
  <c r="F132" i="12" s="1"/>
  <c r="F12" i="12" s="1"/>
  <c r="N133" i="12"/>
  <c r="K132" i="12"/>
  <c r="K12" i="12" s="1"/>
  <c r="J132" i="12"/>
  <c r="J12" i="12" s="1"/>
  <c r="A132" i="12"/>
  <c r="N124" i="12"/>
  <c r="O124" i="12" s="1"/>
  <c r="P124" i="12" s="1"/>
  <c r="Q124" i="12" s="1"/>
  <c r="I124" i="12"/>
  <c r="O123" i="12"/>
  <c r="P123" i="12" s="1"/>
  <c r="N123" i="12"/>
  <c r="M123" i="12"/>
  <c r="L123" i="12"/>
  <c r="K123" i="12"/>
  <c r="K121" i="12" s="1"/>
  <c r="K9" i="12" s="1"/>
  <c r="J123" i="12"/>
  <c r="J121" i="12" s="1"/>
  <c r="J9" i="12" s="1"/>
  <c r="I123" i="12"/>
  <c r="I121" i="12" s="1"/>
  <c r="I9" i="12" s="1"/>
  <c r="H123" i="12"/>
  <c r="H121" i="12" s="1"/>
  <c r="H9" i="12" s="1"/>
  <c r="G123" i="12"/>
  <c r="G121" i="12" s="1"/>
  <c r="G9" i="12" s="1"/>
  <c r="F123" i="12"/>
  <c r="E123" i="12"/>
  <c r="E121" i="12" s="1"/>
  <c r="E9" i="12" s="1"/>
  <c r="I122" i="12"/>
  <c r="H122" i="12" s="1"/>
  <c r="O121" i="12"/>
  <c r="O9" i="12" s="1"/>
  <c r="N121" i="12"/>
  <c r="N9" i="12" s="1"/>
  <c r="M121" i="12"/>
  <c r="M9" i="12" s="1"/>
  <c r="L121" i="12"/>
  <c r="L9" i="12" s="1"/>
  <c r="A121" i="12"/>
  <c r="O118" i="12"/>
  <c r="J118" i="12"/>
  <c r="N118" i="12" s="1"/>
  <c r="I118" i="12"/>
  <c r="O117" i="12"/>
  <c r="P115" i="12" s="1"/>
  <c r="P8" i="12" s="1"/>
  <c r="N117" i="12"/>
  <c r="M117" i="12"/>
  <c r="M118" i="12" s="1"/>
  <c r="L117" i="12"/>
  <c r="L118" i="12" s="1"/>
  <c r="K117" i="12"/>
  <c r="K118" i="12" s="1"/>
  <c r="J117" i="12"/>
  <c r="H117" i="12"/>
  <c r="H115" i="12" s="1"/>
  <c r="H8" i="12" s="1"/>
  <c r="G117" i="12"/>
  <c r="G115" i="12" s="1"/>
  <c r="G8" i="12" s="1"/>
  <c r="F117" i="12"/>
  <c r="F115" i="12" s="1"/>
  <c r="F8" i="12" s="1"/>
  <c r="E117" i="12"/>
  <c r="O115" i="12"/>
  <c r="O8" i="12" s="1"/>
  <c r="N115" i="12"/>
  <c r="N8" i="12" s="1"/>
  <c r="M115" i="12"/>
  <c r="M8" i="12" s="1"/>
  <c r="L115" i="12"/>
  <c r="L8" i="12" s="1"/>
  <c r="K115" i="12"/>
  <c r="K8" i="12" s="1"/>
  <c r="J115" i="12"/>
  <c r="J8" i="12" s="1"/>
  <c r="A115" i="12"/>
  <c r="E110" i="12"/>
  <c r="E44" i="12" s="1"/>
  <c r="F109" i="12"/>
  <c r="F36" i="12" s="1"/>
  <c r="E109" i="12"/>
  <c r="I108" i="12"/>
  <c r="E108" i="12" s="1"/>
  <c r="I107" i="12"/>
  <c r="E107" i="12" s="1"/>
  <c r="N97" i="12"/>
  <c r="O97" i="12" s="1"/>
  <c r="N93" i="12"/>
  <c r="O93" i="12" s="1"/>
  <c r="P93" i="12" s="1"/>
  <c r="Q93" i="12" s="1"/>
  <c r="N69" i="12"/>
  <c r="O69" i="12" s="1"/>
  <c r="I69" i="12"/>
  <c r="N68" i="12"/>
  <c r="O68" i="12" s="1"/>
  <c r="P68" i="12" s="1"/>
  <c r="Q68" i="12" s="1"/>
  <c r="N67" i="12"/>
  <c r="O67" i="12" s="1"/>
  <c r="P67" i="12" s="1"/>
  <c r="Q67" i="12" s="1"/>
  <c r="I58" i="12"/>
  <c r="N58" i="12" s="1"/>
  <c r="O58" i="12" s="1"/>
  <c r="P58" i="12" s="1"/>
  <c r="Q58" i="12" s="1"/>
  <c r="O57" i="12"/>
  <c r="P57" i="12" s="1"/>
  <c r="Q57" i="12" s="1"/>
  <c r="N57" i="12"/>
  <c r="N56" i="12"/>
  <c r="O56" i="12" s="1"/>
  <c r="P56" i="12" s="1"/>
  <c r="Q56" i="12" s="1"/>
  <c r="N55" i="12"/>
  <c r="O55" i="12" s="1"/>
  <c r="P55" i="12" s="1"/>
  <c r="Q55" i="12" s="1"/>
  <c r="N51" i="12"/>
  <c r="J51" i="12" s="1"/>
  <c r="K51" i="12"/>
  <c r="L51" i="12" s="1"/>
  <c r="M51" i="12" s="1"/>
  <c r="I51" i="12"/>
  <c r="H51" i="12"/>
  <c r="Q44" i="12"/>
  <c r="P44" i="12"/>
  <c r="O44" i="12"/>
  <c r="N44" i="12"/>
  <c r="M44" i="12"/>
  <c r="L44" i="12"/>
  <c r="K44" i="12"/>
  <c r="J44" i="12"/>
  <c r="I44" i="12"/>
  <c r="Q36" i="12"/>
  <c r="P36" i="12"/>
  <c r="O36" i="12"/>
  <c r="N36" i="12"/>
  <c r="M36" i="12"/>
  <c r="L36" i="12"/>
  <c r="K36" i="12"/>
  <c r="J36" i="12"/>
  <c r="I36" i="12"/>
  <c r="E36" i="12"/>
  <c r="A36" i="12"/>
  <c r="A44" i="12" s="1"/>
  <c r="I20" i="12"/>
  <c r="A16" i="12"/>
  <c r="A15" i="12"/>
  <c r="N5" i="12"/>
  <c r="O5" i="12" s="1"/>
  <c r="P5" i="12" s="1"/>
  <c r="Q5" i="12" s="1"/>
  <c r="U174" i="9"/>
  <c r="Q174" i="9"/>
  <c r="Q173" i="9"/>
  <c r="U173" i="9"/>
  <c r="H83" i="9" l="1"/>
  <c r="I83" i="9" s="1"/>
  <c r="J83" i="9" s="1"/>
  <c r="H77" i="9"/>
  <c r="G99" i="9"/>
  <c r="H99" i="9" s="1"/>
  <c r="I99" i="9" s="1"/>
  <c r="J99" i="9" s="1"/>
  <c r="G100" i="9"/>
  <c r="H100" i="9" s="1"/>
  <c r="H85" i="9"/>
  <c r="I85" i="9" s="1"/>
  <c r="J85" i="9" s="1"/>
  <c r="H80" i="9"/>
  <c r="I80" i="9" s="1"/>
  <c r="J80" i="9" s="1"/>
  <c r="H89" i="9"/>
  <c r="I89" i="9" s="1"/>
  <c r="J89" i="9" s="1"/>
  <c r="H90" i="9"/>
  <c r="I90" i="9" s="1"/>
  <c r="J90" i="9" s="1"/>
  <c r="H78" i="9"/>
  <c r="I78" i="9" s="1"/>
  <c r="J78" i="9" s="1"/>
  <c r="H104" i="9"/>
  <c r="I104" i="9" s="1"/>
  <c r="J104" i="9" s="1"/>
  <c r="H93" i="9"/>
  <c r="I93" i="9" s="1"/>
  <c r="J93" i="9" s="1"/>
  <c r="H94" i="9"/>
  <c r="I94" i="9" s="1"/>
  <c r="J94" i="9" s="1"/>
  <c r="H97" i="9"/>
  <c r="I97" i="9" s="1"/>
  <c r="J97" i="9" s="1"/>
  <c r="H98" i="9"/>
  <c r="I98" i="9" s="1"/>
  <c r="J98" i="9" s="1"/>
  <c r="H103" i="9"/>
  <c r="I103" i="9" s="1"/>
  <c r="J103" i="9" s="1"/>
  <c r="E122" i="12"/>
  <c r="I100" i="9"/>
  <c r="J100" i="9" s="1"/>
  <c r="I116" i="12"/>
  <c r="H116" i="12" s="1"/>
  <c r="H79" i="9"/>
  <c r="F122" i="12"/>
  <c r="G122" i="12"/>
  <c r="M27" i="12"/>
  <c r="O27" i="12"/>
  <c r="J35" i="12"/>
  <c r="J37" i="12" s="1"/>
  <c r="J10" i="12"/>
  <c r="P27" i="12"/>
  <c r="K35" i="12"/>
  <c r="K37" i="12" s="1"/>
  <c r="I27" i="12"/>
  <c r="J15" i="12"/>
  <c r="N35" i="12"/>
  <c r="N37" i="12" s="1"/>
  <c r="N72" i="12" s="1"/>
  <c r="O35" i="12"/>
  <c r="O37" i="12" s="1"/>
  <c r="F27" i="12"/>
  <c r="H27" i="12"/>
  <c r="G27" i="12"/>
  <c r="E16" i="12"/>
  <c r="M16" i="12"/>
  <c r="E35" i="12"/>
  <c r="E37" i="12" s="1"/>
  <c r="F35" i="12"/>
  <c r="F37" i="12" s="1"/>
  <c r="K16" i="12"/>
  <c r="L16" i="12"/>
  <c r="L35" i="12"/>
  <c r="L37" i="12" s="1"/>
  <c r="G35" i="12"/>
  <c r="J27" i="12"/>
  <c r="I43" i="12"/>
  <c r="I45" i="12" s="1"/>
  <c r="J43" i="12"/>
  <c r="J45" i="12" s="1"/>
  <c r="L27" i="12"/>
  <c r="G15" i="12"/>
  <c r="N10" i="12"/>
  <c r="H35" i="12"/>
  <c r="E43" i="12"/>
  <c r="E45" i="12" s="1"/>
  <c r="I35" i="12"/>
  <c r="I37" i="12" s="1"/>
  <c r="I72" i="12" s="1"/>
  <c r="O43" i="12"/>
  <c r="O45" i="12" s="1"/>
  <c r="Q123" i="12"/>
  <c r="Q121" i="12" s="1"/>
  <c r="Q9" i="12" s="1"/>
  <c r="P121" i="12"/>
  <c r="P9" i="12" s="1"/>
  <c r="P10" i="12" s="1"/>
  <c r="F15" i="12"/>
  <c r="K10" i="12"/>
  <c r="K15" i="12"/>
  <c r="K43" i="12"/>
  <c r="K45" i="12" s="1"/>
  <c r="L10" i="12"/>
  <c r="L15" i="12"/>
  <c r="L43" i="12"/>
  <c r="L45" i="12" s="1"/>
  <c r="M15" i="12"/>
  <c r="M10" i="12"/>
  <c r="M43" i="12"/>
  <c r="M45" i="12" s="1"/>
  <c r="N43" i="12"/>
  <c r="N45" i="12" s="1"/>
  <c r="P97" i="12"/>
  <c r="N27" i="12"/>
  <c r="J16" i="12"/>
  <c r="M163" i="12"/>
  <c r="N163" i="12" s="1"/>
  <c r="M160" i="12"/>
  <c r="M32" i="12" s="1"/>
  <c r="M35" i="12" s="1"/>
  <c r="M37" i="12" s="1"/>
  <c r="F108" i="12"/>
  <c r="E28" i="12"/>
  <c r="H43" i="12"/>
  <c r="O141" i="12"/>
  <c r="O139" i="12"/>
  <c r="P140" i="12"/>
  <c r="M161" i="12"/>
  <c r="N161" i="12" s="1"/>
  <c r="F140" i="12"/>
  <c r="F121" i="12"/>
  <c r="F9" i="12" s="1"/>
  <c r="F10" i="12" s="1"/>
  <c r="O138" i="12"/>
  <c r="O13" i="12" s="1"/>
  <c r="O16" i="12" s="1"/>
  <c r="H10" i="12"/>
  <c r="K27" i="12"/>
  <c r="Q176" i="12"/>
  <c r="G43" i="12"/>
  <c r="I117" i="12"/>
  <c r="E134" i="12"/>
  <c r="E115" i="12"/>
  <c r="E8" i="12" s="1"/>
  <c r="E177" i="12"/>
  <c r="I177" i="12" s="1"/>
  <c r="H135" i="12"/>
  <c r="H132" i="12"/>
  <c r="H12" i="12" s="1"/>
  <c r="H15" i="12" s="1"/>
  <c r="I28" i="12"/>
  <c r="O51" i="12"/>
  <c r="P51" i="12" s="1"/>
  <c r="Q51" i="12" s="1"/>
  <c r="G140" i="12"/>
  <c r="G109" i="12"/>
  <c r="O10" i="12"/>
  <c r="P118" i="12"/>
  <c r="H140" i="12"/>
  <c r="G10" i="12"/>
  <c r="F107" i="12"/>
  <c r="J107" i="12"/>
  <c r="I140" i="12"/>
  <c r="Q148" i="12"/>
  <c r="P147" i="12"/>
  <c r="P177" i="12"/>
  <c r="N107" i="12"/>
  <c r="F110" i="12"/>
  <c r="O132" i="12"/>
  <c r="O12" i="12" s="1"/>
  <c r="O15" i="12" s="1"/>
  <c r="P134" i="12"/>
  <c r="O133" i="12"/>
  <c r="E27" i="12"/>
  <c r="K149" i="12"/>
  <c r="P174" i="12"/>
  <c r="P40" i="12" s="1"/>
  <c r="P43" i="12" s="1"/>
  <c r="P45" i="12" s="1"/>
  <c r="E20" i="12"/>
  <c r="F135" i="12"/>
  <c r="L149" i="12"/>
  <c r="P69" i="12"/>
  <c r="N132" i="12"/>
  <c r="N12" i="12" s="1"/>
  <c r="G135" i="12"/>
  <c r="M149" i="12"/>
  <c r="I169" i="12"/>
  <c r="F43" i="12"/>
  <c r="N127" i="12"/>
  <c r="P162" i="12"/>
  <c r="H88" i="9"/>
  <c r="I88" i="9" s="1"/>
  <c r="J88" i="9" s="1"/>
  <c r="H84" i="9"/>
  <c r="N123" i="8"/>
  <c r="I129" i="8"/>
  <c r="G129" i="8" s="1"/>
  <c r="I123" i="8"/>
  <c r="H123" i="8" s="1"/>
  <c r="N212" i="9"/>
  <c r="N231" i="9"/>
  <c r="N210" i="9"/>
  <c r="S209" i="9"/>
  <c r="T209" i="9" s="1"/>
  <c r="R209" i="9"/>
  <c r="Q209" i="9"/>
  <c r="F146" i="9"/>
  <c r="F147" i="9"/>
  <c r="F148" i="9"/>
  <c r="F151" i="9"/>
  <c r="F152" i="9"/>
  <c r="F153" i="9"/>
  <c r="F156" i="9"/>
  <c r="F157" i="9"/>
  <c r="F158" i="9"/>
  <c r="F161" i="9"/>
  <c r="F162" i="9"/>
  <c r="F165" i="9"/>
  <c r="F166" i="9"/>
  <c r="F167" i="9"/>
  <c r="F168" i="9"/>
  <c r="F170" i="9"/>
  <c r="F171" i="9"/>
  <c r="F172" i="9"/>
  <c r="F145" i="9"/>
  <c r="O183" i="8"/>
  <c r="P183" i="8"/>
  <c r="Q183" i="8" s="1"/>
  <c r="O169" i="8"/>
  <c r="P169" i="8" s="1"/>
  <c r="Q169" i="8" s="1"/>
  <c r="M44" i="8"/>
  <c r="M36" i="8"/>
  <c r="L44" i="8"/>
  <c r="L36" i="8"/>
  <c r="K44" i="8"/>
  <c r="K36" i="8"/>
  <c r="J44" i="8"/>
  <c r="J36" i="8"/>
  <c r="N182" i="8"/>
  <c r="N184" i="8"/>
  <c r="M183" i="8"/>
  <c r="M181" i="8" s="1"/>
  <c r="M40" i="8" s="1"/>
  <c r="L183" i="8"/>
  <c r="L181" i="8" s="1"/>
  <c r="L40" i="8" s="1"/>
  <c r="K183" i="8"/>
  <c r="K181" i="8" s="1"/>
  <c r="K40" i="8" s="1"/>
  <c r="J183" i="8"/>
  <c r="J181" i="8" s="1"/>
  <c r="J40" i="8" s="1"/>
  <c r="M169" i="8"/>
  <c r="M170" i="8" s="1"/>
  <c r="L169" i="8"/>
  <c r="L170" i="8" s="1"/>
  <c r="K169" i="8"/>
  <c r="K168" i="8" s="1"/>
  <c r="J169" i="8"/>
  <c r="J170" i="8" s="1"/>
  <c r="M155" i="8"/>
  <c r="L155" i="8"/>
  <c r="K155" i="8"/>
  <c r="J155" i="8"/>
  <c r="M147" i="8"/>
  <c r="M148" i="8" s="1"/>
  <c r="L147" i="8"/>
  <c r="L145" i="8" s="1"/>
  <c r="L13" i="8" s="1"/>
  <c r="K147" i="8"/>
  <c r="K148" i="8" s="1"/>
  <c r="J147" i="8"/>
  <c r="J145" i="8" s="1"/>
  <c r="J13" i="8" s="1"/>
  <c r="J148" i="8"/>
  <c r="M141" i="8"/>
  <c r="M142" i="8" s="1"/>
  <c r="L141" i="8"/>
  <c r="L142" i="8" s="1"/>
  <c r="K141" i="8"/>
  <c r="K142" i="8" s="1"/>
  <c r="J141" i="8"/>
  <c r="J142" i="8" s="1"/>
  <c r="M162" i="8"/>
  <c r="L162" i="8"/>
  <c r="K162" i="8"/>
  <c r="J162" i="8"/>
  <c r="J160" i="8"/>
  <c r="K160" i="8"/>
  <c r="L160" i="8"/>
  <c r="M160" i="8"/>
  <c r="N131" i="8"/>
  <c r="M130" i="8"/>
  <c r="M128" i="8" s="1"/>
  <c r="M9" i="8" s="1"/>
  <c r="L130" i="8"/>
  <c r="L128" i="8" s="1"/>
  <c r="L9" i="8" s="1"/>
  <c r="K130" i="8"/>
  <c r="K128" i="8" s="1"/>
  <c r="K9" i="8" s="1"/>
  <c r="J130" i="8"/>
  <c r="J128" i="8" s="1"/>
  <c r="J9" i="8" s="1"/>
  <c r="M190" i="8"/>
  <c r="L190" i="8"/>
  <c r="K190" i="8"/>
  <c r="J190" i="8"/>
  <c r="M188" i="8"/>
  <c r="L188" i="8"/>
  <c r="K188" i="8"/>
  <c r="J188" i="8"/>
  <c r="M174" i="8"/>
  <c r="L174" i="8"/>
  <c r="K174" i="8"/>
  <c r="J174" i="8"/>
  <c r="N174" i="8" s="1"/>
  <c r="M176" i="8"/>
  <c r="L176" i="8"/>
  <c r="K176" i="8"/>
  <c r="J176" i="8"/>
  <c r="J187" i="8"/>
  <c r="J42" i="8" s="1"/>
  <c r="K187" i="8"/>
  <c r="K42" i="8" s="1"/>
  <c r="L187" i="8"/>
  <c r="L42" i="8" s="1"/>
  <c r="M187" i="8"/>
  <c r="M42" i="8" s="1"/>
  <c r="J173" i="8"/>
  <c r="J34" i="8" s="1"/>
  <c r="K173" i="8"/>
  <c r="K34" i="8" s="1"/>
  <c r="L173" i="8"/>
  <c r="L34" i="8" s="1"/>
  <c r="M173" i="8"/>
  <c r="M34" i="8" s="1"/>
  <c r="K167" i="8"/>
  <c r="K32" i="8" s="1"/>
  <c r="J159" i="8"/>
  <c r="J26" i="8" s="1"/>
  <c r="K159" i="8"/>
  <c r="K26" i="8" s="1"/>
  <c r="L159" i="8"/>
  <c r="L26" i="8" s="1"/>
  <c r="M159" i="8"/>
  <c r="M26" i="8" s="1"/>
  <c r="M145" i="8"/>
  <c r="M13" i="8" s="1"/>
  <c r="M124" i="8"/>
  <c r="M122" i="8" s="1"/>
  <c r="M8" i="8" s="1"/>
  <c r="L124" i="8"/>
  <c r="L122" i="8" s="1"/>
  <c r="L8" i="8" s="1"/>
  <c r="K124" i="8"/>
  <c r="K122" i="8" s="1"/>
  <c r="K8" i="8" s="1"/>
  <c r="J124" i="8"/>
  <c r="J122" i="8" s="1"/>
  <c r="J8" i="8" s="1"/>
  <c r="I107" i="8"/>
  <c r="I182" i="8"/>
  <c r="G183" i="8"/>
  <c r="G181" i="8" s="1"/>
  <c r="G40" i="8" s="1"/>
  <c r="H183" i="8"/>
  <c r="H181" i="8" s="1"/>
  <c r="H40" i="8" s="1"/>
  <c r="F183" i="8"/>
  <c r="F181" i="8" s="1"/>
  <c r="F40" i="8" s="1"/>
  <c r="E183" i="8"/>
  <c r="E181" i="8" s="1"/>
  <c r="E40" i="8" s="1"/>
  <c r="H169" i="8"/>
  <c r="H168" i="8" s="1"/>
  <c r="G169" i="8"/>
  <c r="G167" i="8" s="1"/>
  <c r="G32" i="8" s="1"/>
  <c r="F169" i="8"/>
  <c r="F167" i="8" s="1"/>
  <c r="F32" i="8" s="1"/>
  <c r="E169" i="8"/>
  <c r="E167" i="8" s="1"/>
  <c r="E32" i="8" s="1"/>
  <c r="E188" i="8"/>
  <c r="F188" i="8"/>
  <c r="G188" i="8"/>
  <c r="H188" i="8"/>
  <c r="F174" i="8"/>
  <c r="G174" i="8"/>
  <c r="H174" i="8"/>
  <c r="E174" i="8"/>
  <c r="H160" i="8"/>
  <c r="G160" i="8"/>
  <c r="F160" i="8"/>
  <c r="E160" i="8"/>
  <c r="I156" i="8"/>
  <c r="H155" i="8"/>
  <c r="H153" i="8" s="1"/>
  <c r="H24" i="8" s="1"/>
  <c r="G155" i="8"/>
  <c r="G153" i="8" s="1"/>
  <c r="G24" i="8" s="1"/>
  <c r="F155" i="8"/>
  <c r="F153" i="8" s="1"/>
  <c r="F24" i="8" s="1"/>
  <c r="E155" i="8"/>
  <c r="E153" i="8" s="1"/>
  <c r="E24" i="8" s="1"/>
  <c r="E162" i="8"/>
  <c r="F162" i="8"/>
  <c r="G162" i="8"/>
  <c r="H162" i="8"/>
  <c r="F190" i="8"/>
  <c r="G190" i="8"/>
  <c r="H190" i="8"/>
  <c r="E190" i="8"/>
  <c r="E176" i="8"/>
  <c r="F176" i="8"/>
  <c r="G176" i="8"/>
  <c r="H176" i="8"/>
  <c r="I130" i="8"/>
  <c r="I131" i="8"/>
  <c r="H130" i="8"/>
  <c r="H147" i="8" s="1"/>
  <c r="H145" i="8" s="1"/>
  <c r="H13" i="8" s="1"/>
  <c r="G130" i="8"/>
  <c r="G128" i="8" s="1"/>
  <c r="G9" i="8" s="1"/>
  <c r="F130" i="8"/>
  <c r="F128" i="8" s="1"/>
  <c r="F9" i="8" s="1"/>
  <c r="E130" i="8"/>
  <c r="E128" i="8" s="1"/>
  <c r="E9" i="8" s="1"/>
  <c r="E187" i="8"/>
  <c r="E42" i="8" s="1"/>
  <c r="F187" i="8"/>
  <c r="F42" i="8" s="1"/>
  <c r="G187" i="8"/>
  <c r="G42" i="8" s="1"/>
  <c r="H187" i="8"/>
  <c r="H42" i="8" s="1"/>
  <c r="E173" i="8"/>
  <c r="E34" i="8" s="1"/>
  <c r="F173" i="8"/>
  <c r="F34" i="8" s="1"/>
  <c r="G173" i="8"/>
  <c r="G34" i="8" s="1"/>
  <c r="H173" i="8"/>
  <c r="H34" i="8" s="1"/>
  <c r="E159" i="8"/>
  <c r="E26" i="8" s="1"/>
  <c r="F159" i="8"/>
  <c r="F26" i="8" s="1"/>
  <c r="G159" i="8"/>
  <c r="G26" i="8" s="1"/>
  <c r="H159" i="8"/>
  <c r="H26" i="8" s="1"/>
  <c r="E145" i="8"/>
  <c r="E13" i="8" s="1"/>
  <c r="I125" i="8"/>
  <c r="H124" i="8"/>
  <c r="H122" i="8" s="1"/>
  <c r="H8" i="8" s="1"/>
  <c r="G124" i="8"/>
  <c r="G141" i="8" s="1"/>
  <c r="F124" i="8"/>
  <c r="F141" i="8" s="1"/>
  <c r="E124" i="8"/>
  <c r="E141" i="8" s="1"/>
  <c r="E109" i="8"/>
  <c r="F109" i="8" s="1"/>
  <c r="E110" i="8"/>
  <c r="F110" i="8" s="1"/>
  <c r="O1" i="9"/>
  <c r="Q146" i="9"/>
  <c r="A63" i="9"/>
  <c r="A97" i="9" s="1"/>
  <c r="A131" i="9" s="1"/>
  <c r="D29" i="9"/>
  <c r="E29" i="9" s="1"/>
  <c r="F29" i="9" s="1"/>
  <c r="U146" i="9"/>
  <c r="A144" i="9"/>
  <c r="A177" i="9" s="1"/>
  <c r="A44" i="9"/>
  <c r="A78" i="9" s="1"/>
  <c r="A112" i="9" s="1"/>
  <c r="N112" i="9" s="1"/>
  <c r="D10" i="9"/>
  <c r="E10" i="9" s="1"/>
  <c r="F10" i="9" s="1"/>
  <c r="G10" i="9" s="1"/>
  <c r="H10" i="9" s="1"/>
  <c r="I10" i="9" s="1"/>
  <c r="J10" i="9" s="1"/>
  <c r="A85" i="9"/>
  <c r="A119" i="9" s="1"/>
  <c r="A153" i="9" s="1"/>
  <c r="A70" i="9"/>
  <c r="A104" i="9" s="1"/>
  <c r="A138" i="9" s="1"/>
  <c r="A172" i="9" s="1"/>
  <c r="A69" i="9"/>
  <c r="A103" i="9" s="1"/>
  <c r="A137" i="9" s="1"/>
  <c r="A171" i="9" s="1"/>
  <c r="A68" i="9"/>
  <c r="A102" i="9" s="1"/>
  <c r="A136" i="9" s="1"/>
  <c r="A170" i="9" s="1"/>
  <c r="A66" i="9"/>
  <c r="A100" i="9" s="1"/>
  <c r="A134" i="9" s="1"/>
  <c r="A168" i="9" s="1"/>
  <c r="A65" i="9"/>
  <c r="A99" i="9" s="1"/>
  <c r="A133" i="9" s="1"/>
  <c r="A167" i="9" s="1"/>
  <c r="N167" i="9" s="1"/>
  <c r="A64" i="9"/>
  <c r="A98" i="9" s="1"/>
  <c r="A132" i="9" s="1"/>
  <c r="A166" i="9" s="1"/>
  <c r="N166" i="9" s="1"/>
  <c r="A62" i="9"/>
  <c r="A96" i="9" s="1"/>
  <c r="A130" i="9" s="1"/>
  <c r="A164" i="9" s="1"/>
  <c r="N164" i="9" s="1"/>
  <c r="A60" i="9"/>
  <c r="A94" i="9" s="1"/>
  <c r="A128" i="9" s="1"/>
  <c r="A162" i="9" s="1"/>
  <c r="N162" i="9" s="1"/>
  <c r="A59" i="9"/>
  <c r="A93" i="9" s="1"/>
  <c r="A127" i="9" s="1"/>
  <c r="A161" i="9" s="1"/>
  <c r="N161" i="9" s="1"/>
  <c r="A58" i="9"/>
  <c r="A92" i="9" s="1"/>
  <c r="A126" i="9" s="1"/>
  <c r="A160" i="9" s="1"/>
  <c r="N160" i="9" s="1"/>
  <c r="A56" i="9"/>
  <c r="A90" i="9" s="1"/>
  <c r="A124" i="9" s="1"/>
  <c r="A158" i="9" s="1"/>
  <c r="N158" i="9" s="1"/>
  <c r="A55" i="9"/>
  <c r="A89" i="9" s="1"/>
  <c r="A123" i="9" s="1"/>
  <c r="A157" i="9" s="1"/>
  <c r="N157" i="9" s="1"/>
  <c r="A54" i="9"/>
  <c r="A88" i="9" s="1"/>
  <c r="A122" i="9" s="1"/>
  <c r="A156" i="9" s="1"/>
  <c r="N156" i="9" s="1"/>
  <c r="A53" i="9"/>
  <c r="A87" i="9" s="1"/>
  <c r="A121" i="9" s="1"/>
  <c r="A155" i="9" s="1"/>
  <c r="A51" i="9"/>
  <c r="A50" i="9"/>
  <c r="A84" i="9" s="1"/>
  <c r="A118" i="9" s="1"/>
  <c r="A152" i="9" s="1"/>
  <c r="A49" i="9"/>
  <c r="A83" i="9" s="1"/>
  <c r="A117" i="9" s="1"/>
  <c r="A151" i="9" s="1"/>
  <c r="N151" i="9" s="1"/>
  <c r="A48" i="9"/>
  <c r="A82" i="9" s="1"/>
  <c r="A116" i="9" s="1"/>
  <c r="A150" i="9" s="1"/>
  <c r="N150" i="9" s="1"/>
  <c r="A46" i="9"/>
  <c r="A80" i="9" s="1"/>
  <c r="A114" i="9" s="1"/>
  <c r="A148" i="9" s="1"/>
  <c r="N148" i="9" s="1"/>
  <c r="A45" i="9"/>
  <c r="A79" i="9" s="1"/>
  <c r="A113" i="9" s="1"/>
  <c r="N113" i="9" s="1"/>
  <c r="A43" i="9"/>
  <c r="A77" i="9" s="1"/>
  <c r="A111" i="9" s="1"/>
  <c r="A145" i="9" s="1"/>
  <c r="N145" i="9" s="1"/>
  <c r="A42" i="9"/>
  <c r="A76" i="9" s="1"/>
  <c r="A110" i="9" s="1"/>
  <c r="N116" i="12" l="1"/>
  <c r="N129" i="8"/>
  <c r="N122" i="12"/>
  <c r="I77" i="9"/>
  <c r="D8" i="15"/>
  <c r="C8" i="15"/>
  <c r="G106" i="9"/>
  <c r="C9" i="15" s="1"/>
  <c r="K153" i="8"/>
  <c r="K24" i="8" s="1"/>
  <c r="K27" i="8" s="1"/>
  <c r="K154" i="8"/>
  <c r="L156" i="8"/>
  <c r="L154" i="8"/>
  <c r="M156" i="8"/>
  <c r="M154" i="8"/>
  <c r="J153" i="8"/>
  <c r="J24" i="8" s="1"/>
  <c r="J27" i="8" s="1"/>
  <c r="J154" i="8"/>
  <c r="N154" i="8" s="1"/>
  <c r="L139" i="8"/>
  <c r="L12" i="8" s="1"/>
  <c r="L15" i="8" s="1"/>
  <c r="K139" i="8"/>
  <c r="K12" i="8" s="1"/>
  <c r="K15" i="8" s="1"/>
  <c r="J139" i="8"/>
  <c r="J12" i="8" s="1"/>
  <c r="J15" i="8" s="1"/>
  <c r="M153" i="8"/>
  <c r="M24" i="8" s="1"/>
  <c r="M27" i="8" s="1"/>
  <c r="L167" i="8"/>
  <c r="L32" i="8" s="1"/>
  <c r="L35" i="8" s="1"/>
  <c r="L37" i="8" s="1"/>
  <c r="N162" i="8"/>
  <c r="H106" i="9"/>
  <c r="D9" i="15" s="1"/>
  <c r="I79" i="9"/>
  <c r="E116" i="12"/>
  <c r="F116" i="12"/>
  <c r="G116" i="12"/>
  <c r="I84" i="9"/>
  <c r="O122" i="12"/>
  <c r="O116" i="12"/>
  <c r="L153" i="8"/>
  <c r="L24" i="8" s="1"/>
  <c r="L27" i="8" s="1"/>
  <c r="K156" i="8"/>
  <c r="L148" i="8"/>
  <c r="N148" i="8" s="1"/>
  <c r="M167" i="8"/>
  <c r="M32" i="8" s="1"/>
  <c r="M35" i="8" s="1"/>
  <c r="M37" i="8" s="1"/>
  <c r="N176" i="8"/>
  <c r="I29" i="12"/>
  <c r="I61" i="12" s="1"/>
  <c r="K170" i="8"/>
  <c r="N170" i="8"/>
  <c r="K145" i="8"/>
  <c r="K13" i="8" s="1"/>
  <c r="K16" i="8" s="1"/>
  <c r="G168" i="8"/>
  <c r="I168" i="8" s="1"/>
  <c r="J168" i="8"/>
  <c r="M168" i="8"/>
  <c r="N188" i="8"/>
  <c r="L168" i="8"/>
  <c r="J156" i="8"/>
  <c r="N190" i="8"/>
  <c r="N160" i="8"/>
  <c r="O38" i="12"/>
  <c r="I190" i="8"/>
  <c r="E36" i="8"/>
  <c r="I160" i="8"/>
  <c r="M17" i="12"/>
  <c r="M19" i="12" s="1"/>
  <c r="M118" i="8" s="1"/>
  <c r="F36" i="8"/>
  <c r="G109" i="8"/>
  <c r="I188" i="8"/>
  <c r="J38" i="12"/>
  <c r="N38" i="12"/>
  <c r="O17" i="12"/>
  <c r="O19" i="12" s="1"/>
  <c r="O118" i="8" s="1"/>
  <c r="L17" i="12"/>
  <c r="L19" i="12" s="1"/>
  <c r="L118" i="8" s="1"/>
  <c r="K17" i="12"/>
  <c r="K19" i="12" s="1"/>
  <c r="K118" i="8" s="1"/>
  <c r="N16" i="12"/>
  <c r="J17" i="12"/>
  <c r="J19" i="12" s="1"/>
  <c r="J118" i="8" s="1"/>
  <c r="O72" i="12"/>
  <c r="N73" i="12"/>
  <c r="N74" i="12" s="1"/>
  <c r="G36" i="12"/>
  <c r="G37" i="12" s="1"/>
  <c r="L38" i="12" s="1"/>
  <c r="H109" i="12"/>
  <c r="H36" i="12" s="1"/>
  <c r="H37" i="12" s="1"/>
  <c r="M38" i="12" s="1"/>
  <c r="E132" i="12"/>
  <c r="E12" i="12" s="1"/>
  <c r="E15" i="12" s="1"/>
  <c r="E135" i="12"/>
  <c r="I135" i="12" s="1"/>
  <c r="N149" i="12"/>
  <c r="O73" i="12"/>
  <c r="O46" i="12"/>
  <c r="F138" i="12"/>
  <c r="F13" i="12" s="1"/>
  <c r="F16" i="12" s="1"/>
  <c r="F141" i="12"/>
  <c r="I141" i="12" s="1"/>
  <c r="I134" i="12"/>
  <c r="I115" i="12"/>
  <c r="I8" i="12" s="1"/>
  <c r="I10" i="12" s="1"/>
  <c r="N108" i="12"/>
  <c r="N28" i="12" s="1"/>
  <c r="N29" i="12" s="1"/>
  <c r="N20" i="12"/>
  <c r="O107" i="12"/>
  <c r="I73" i="12"/>
  <c r="I74" i="12" s="1"/>
  <c r="Q174" i="12"/>
  <c r="Q40" i="12" s="1"/>
  <c r="Q43" i="12" s="1"/>
  <c r="Q45" i="12" s="1"/>
  <c r="Q177" i="12"/>
  <c r="Q175" i="12"/>
  <c r="G138" i="12"/>
  <c r="G13" i="12" s="1"/>
  <c r="G16" i="12" s="1"/>
  <c r="G17" i="12" s="1"/>
  <c r="G19" i="12" s="1"/>
  <c r="G118" i="8" s="1"/>
  <c r="G141" i="12"/>
  <c r="Q147" i="12"/>
  <c r="Q146" i="12"/>
  <c r="Q24" i="12" s="1"/>
  <c r="Q27" i="12" s="1"/>
  <c r="Q149" i="12"/>
  <c r="Q97" i="12"/>
  <c r="P132" i="12"/>
  <c r="P12" i="12" s="1"/>
  <c r="P15" i="12" s="1"/>
  <c r="Q134" i="12"/>
  <c r="P133" i="12"/>
  <c r="P135" i="12"/>
  <c r="K38" i="12"/>
  <c r="P46" i="12"/>
  <c r="P73" i="12"/>
  <c r="Q140" i="12"/>
  <c r="P139" i="12"/>
  <c r="P141" i="12"/>
  <c r="P138" i="12"/>
  <c r="P13" i="12" s="1"/>
  <c r="P16" i="12" s="1"/>
  <c r="I139" i="12"/>
  <c r="I138" i="12"/>
  <c r="I13" i="12" s="1"/>
  <c r="N15" i="12"/>
  <c r="P160" i="12"/>
  <c r="P32" i="12" s="1"/>
  <c r="P35" i="12" s="1"/>
  <c r="P37" i="12" s="1"/>
  <c r="P161" i="12"/>
  <c r="Q162" i="12"/>
  <c r="P163" i="12"/>
  <c r="J108" i="12"/>
  <c r="J28" i="12" s="1"/>
  <c r="J29" i="12" s="1"/>
  <c r="J20" i="12"/>
  <c r="Q69" i="12"/>
  <c r="G107" i="12"/>
  <c r="K107" i="12"/>
  <c r="F20" i="12"/>
  <c r="E29" i="12"/>
  <c r="F44" i="12"/>
  <c r="F45" i="12" s="1"/>
  <c r="G110" i="12"/>
  <c r="Q115" i="12"/>
  <c r="Q8" i="12" s="1"/>
  <c r="Q118" i="12"/>
  <c r="F28" i="12"/>
  <c r="F29" i="12" s="1"/>
  <c r="G108" i="12"/>
  <c r="H138" i="12"/>
  <c r="H13" i="12" s="1"/>
  <c r="H16" i="12" s="1"/>
  <c r="H17" i="12" s="1"/>
  <c r="H19" i="12" s="1"/>
  <c r="H118" i="8" s="1"/>
  <c r="H141" i="12"/>
  <c r="E10" i="12"/>
  <c r="O129" i="8"/>
  <c r="G146" i="9"/>
  <c r="H146" i="9" s="1"/>
  <c r="I146" i="9" s="1"/>
  <c r="J146" i="9" s="1"/>
  <c r="H129" i="8"/>
  <c r="E123" i="8"/>
  <c r="E129" i="8"/>
  <c r="F129" i="8"/>
  <c r="O123" i="8"/>
  <c r="F123" i="8"/>
  <c r="G123" i="8"/>
  <c r="G165" i="9"/>
  <c r="H165" i="9" s="1"/>
  <c r="I165" i="9" s="1"/>
  <c r="J165" i="9" s="1"/>
  <c r="A165" i="9"/>
  <c r="N131" i="9"/>
  <c r="N142" i="8"/>
  <c r="J167" i="8"/>
  <c r="J32" i="8" s="1"/>
  <c r="J35" i="8" s="1"/>
  <c r="J37" i="8" s="1"/>
  <c r="M139" i="8"/>
  <c r="M12" i="8" s="1"/>
  <c r="M15" i="8" s="1"/>
  <c r="J125" i="8"/>
  <c r="G170" i="8"/>
  <c r="M43" i="8"/>
  <c r="M45" i="8" s="1"/>
  <c r="L43" i="8"/>
  <c r="L45" i="8" s="1"/>
  <c r="K43" i="8"/>
  <c r="K45" i="8" s="1"/>
  <c r="K35" i="8"/>
  <c r="K37" i="8" s="1"/>
  <c r="J43" i="8"/>
  <c r="J45" i="8" s="1"/>
  <c r="M16" i="8"/>
  <c r="L16" i="8"/>
  <c r="M10" i="8"/>
  <c r="L10" i="8"/>
  <c r="J16" i="8"/>
  <c r="K10" i="8"/>
  <c r="J10" i="8"/>
  <c r="G110" i="8"/>
  <c r="F44" i="8"/>
  <c r="K125" i="8"/>
  <c r="I176" i="8"/>
  <c r="L125" i="8"/>
  <c r="E44" i="8"/>
  <c r="M125" i="8"/>
  <c r="F170" i="8"/>
  <c r="E122" i="8"/>
  <c r="E8" i="8" s="1"/>
  <c r="E10" i="8" s="1"/>
  <c r="G35" i="8"/>
  <c r="F147" i="8"/>
  <c r="F148" i="8" s="1"/>
  <c r="H128" i="8"/>
  <c r="H9" i="8" s="1"/>
  <c r="H10" i="8" s="1"/>
  <c r="G147" i="8"/>
  <c r="G145" i="8" s="1"/>
  <c r="G13" i="8" s="1"/>
  <c r="G16" i="8" s="1"/>
  <c r="H167" i="8"/>
  <c r="H32" i="8" s="1"/>
  <c r="H35" i="8" s="1"/>
  <c r="G122" i="8"/>
  <c r="G8" i="8" s="1"/>
  <c r="G10" i="8" s="1"/>
  <c r="F122" i="8"/>
  <c r="F8" i="8" s="1"/>
  <c r="F10" i="8" s="1"/>
  <c r="E139" i="8"/>
  <c r="E12" i="8" s="1"/>
  <c r="E142" i="8"/>
  <c r="I174" i="8"/>
  <c r="E184" i="8"/>
  <c r="I184" i="8" s="1"/>
  <c r="H141" i="8"/>
  <c r="H142" i="8" s="1"/>
  <c r="E170" i="8"/>
  <c r="F139" i="8"/>
  <c r="F12" i="8" s="1"/>
  <c r="F142" i="8"/>
  <c r="G142" i="8"/>
  <c r="G139" i="8"/>
  <c r="G12" i="8" s="1"/>
  <c r="H148" i="8"/>
  <c r="I124" i="8"/>
  <c r="H170" i="8"/>
  <c r="F43" i="8"/>
  <c r="H43" i="8"/>
  <c r="G43" i="8"/>
  <c r="E43" i="8"/>
  <c r="F35" i="8"/>
  <c r="E35" i="8"/>
  <c r="E27" i="8"/>
  <c r="F27" i="8"/>
  <c r="H27" i="8"/>
  <c r="G27" i="8"/>
  <c r="I162" i="8"/>
  <c r="E16" i="8"/>
  <c r="A178" i="9"/>
  <c r="G29" i="9"/>
  <c r="A181" i="9"/>
  <c r="A183" i="9"/>
  <c r="A184" i="9"/>
  <c r="N184" i="9" s="1"/>
  <c r="N217" i="9" s="1"/>
  <c r="A191" i="9"/>
  <c r="N191" i="9" s="1"/>
  <c r="N224" i="9" s="1"/>
  <c r="A194" i="9"/>
  <c r="N194" i="9" s="1"/>
  <c r="N227" i="9" s="1"/>
  <c r="A195" i="9"/>
  <c r="N195" i="9" s="1"/>
  <c r="N228" i="9" s="1"/>
  <c r="N152" i="9"/>
  <c r="A185" i="9"/>
  <c r="N185" i="9" s="1"/>
  <c r="N218" i="9" s="1"/>
  <c r="N168" i="9"/>
  <c r="A201" i="9"/>
  <c r="N201" i="9" s="1"/>
  <c r="N234" i="9" s="1"/>
  <c r="N170" i="9"/>
  <c r="A203" i="9"/>
  <c r="N203" i="9" s="1"/>
  <c r="N236" i="9" s="1"/>
  <c r="N155" i="9"/>
  <c r="A188" i="9"/>
  <c r="N171" i="9"/>
  <c r="A204" i="9"/>
  <c r="N204" i="9" s="1"/>
  <c r="N237" i="9" s="1"/>
  <c r="N172" i="9"/>
  <c r="A205" i="9"/>
  <c r="N205" i="9" s="1"/>
  <c r="N238" i="9" s="1"/>
  <c r="N153" i="9"/>
  <c r="A186" i="9"/>
  <c r="N186" i="9" s="1"/>
  <c r="N219" i="9" s="1"/>
  <c r="A193" i="9"/>
  <c r="N193" i="9" s="1"/>
  <c r="N226" i="9" s="1"/>
  <c r="A197" i="9"/>
  <c r="N197" i="9" s="1"/>
  <c r="N230" i="9" s="1"/>
  <c r="A147" i="9"/>
  <c r="A199" i="9"/>
  <c r="N199" i="9" s="1"/>
  <c r="N232" i="9" s="1"/>
  <c r="A200" i="9"/>
  <c r="N200" i="9" s="1"/>
  <c r="N233" i="9" s="1"/>
  <c r="A189" i="9"/>
  <c r="N189" i="9" s="1"/>
  <c r="N222" i="9" s="1"/>
  <c r="A190" i="9"/>
  <c r="N190" i="9" s="1"/>
  <c r="N223" i="9" s="1"/>
  <c r="A146" i="9"/>
  <c r="G156" i="9"/>
  <c r="H156" i="9" s="1"/>
  <c r="I156" i="9" s="1"/>
  <c r="J156" i="9" s="1"/>
  <c r="G153" i="9"/>
  <c r="H153" i="9" s="1"/>
  <c r="I153" i="9" s="1"/>
  <c r="J153" i="9" s="1"/>
  <c r="G152" i="9"/>
  <c r="H152" i="9" s="1"/>
  <c r="I152" i="9" s="1"/>
  <c r="J152" i="9" s="1"/>
  <c r="G151" i="9"/>
  <c r="H151" i="9" s="1"/>
  <c r="I151" i="9" s="1"/>
  <c r="J151" i="9" s="1"/>
  <c r="G148" i="9"/>
  <c r="H148" i="9" s="1"/>
  <c r="I148" i="9" s="1"/>
  <c r="J148" i="9" s="1"/>
  <c r="G172" i="9"/>
  <c r="H172" i="9" s="1"/>
  <c r="I172" i="9" s="1"/>
  <c r="J172" i="9" s="1"/>
  <c r="G171" i="9"/>
  <c r="H171" i="9" s="1"/>
  <c r="I171" i="9" s="1"/>
  <c r="J171" i="9" s="1"/>
  <c r="G168" i="9"/>
  <c r="H168" i="9" s="1"/>
  <c r="I168" i="9" s="1"/>
  <c r="J168" i="9" s="1"/>
  <c r="G167" i="9"/>
  <c r="H167" i="9" s="1"/>
  <c r="I167" i="9" s="1"/>
  <c r="J167" i="9" s="1"/>
  <c r="U148" i="9"/>
  <c r="U147" i="9"/>
  <c r="N144" i="9"/>
  <c r="N188" i="9"/>
  <c r="N221" i="9" s="1"/>
  <c r="N183" i="9"/>
  <c r="N216" i="9" s="1"/>
  <c r="N181" i="9"/>
  <c r="N214" i="9" s="1"/>
  <c r="N178" i="9"/>
  <c r="N211" i="9" s="1"/>
  <c r="N177" i="9"/>
  <c r="Q176" i="9"/>
  <c r="R176" i="9" s="1"/>
  <c r="S176" i="9" s="1"/>
  <c r="T176" i="9" s="1"/>
  <c r="G166" i="9"/>
  <c r="H166" i="9" s="1"/>
  <c r="I166" i="9" s="1"/>
  <c r="J166" i="9" s="1"/>
  <c r="G162" i="9"/>
  <c r="H162" i="9" s="1"/>
  <c r="I162" i="9" s="1"/>
  <c r="J162" i="9" s="1"/>
  <c r="G161" i="9"/>
  <c r="H161" i="9" s="1"/>
  <c r="I161" i="9" s="1"/>
  <c r="J161" i="9" s="1"/>
  <c r="G158" i="9"/>
  <c r="H158" i="9" s="1"/>
  <c r="I158" i="9" s="1"/>
  <c r="J158" i="9" s="1"/>
  <c r="G157" i="9"/>
  <c r="H157" i="9" s="1"/>
  <c r="I157" i="9" s="1"/>
  <c r="J157" i="9" s="1"/>
  <c r="G145" i="9"/>
  <c r="H145" i="9" s="1"/>
  <c r="I145" i="9" s="1"/>
  <c r="J145" i="9" s="1"/>
  <c r="N111" i="9"/>
  <c r="N114" i="9"/>
  <c r="N116" i="9"/>
  <c r="N117" i="9"/>
  <c r="N118" i="9"/>
  <c r="N119" i="9"/>
  <c r="N121" i="9"/>
  <c r="N122" i="9"/>
  <c r="N123" i="9"/>
  <c r="N124" i="9"/>
  <c r="N126" i="9"/>
  <c r="N127" i="9"/>
  <c r="N128" i="9"/>
  <c r="N130" i="9"/>
  <c r="N132" i="9"/>
  <c r="N133" i="9"/>
  <c r="N134" i="9"/>
  <c r="N136" i="9"/>
  <c r="N137" i="9"/>
  <c r="N138" i="9"/>
  <c r="N110" i="9"/>
  <c r="Q109" i="9"/>
  <c r="R109" i="9" s="1"/>
  <c r="S109" i="9" s="1"/>
  <c r="T109" i="9" s="1"/>
  <c r="D17" i="9"/>
  <c r="E17" i="9" s="1"/>
  <c r="F17" i="9" s="1"/>
  <c r="G17" i="9" s="1"/>
  <c r="H17" i="9" s="1"/>
  <c r="I17" i="9" s="1"/>
  <c r="J17" i="9" s="1"/>
  <c r="D16" i="9"/>
  <c r="E16" i="9" s="1"/>
  <c r="F16" i="9" s="1"/>
  <c r="G16" i="9" s="1"/>
  <c r="D36" i="9"/>
  <c r="E36" i="9" s="1"/>
  <c r="F36" i="9" s="1"/>
  <c r="D35" i="9"/>
  <c r="E35" i="9" s="1"/>
  <c r="F35" i="9" s="1"/>
  <c r="G35" i="9" s="1"/>
  <c r="H35" i="9" s="1"/>
  <c r="I35" i="9" s="1"/>
  <c r="D32" i="9"/>
  <c r="E32" i="9" s="1"/>
  <c r="F32" i="9" s="1"/>
  <c r="D31" i="9"/>
  <c r="E31" i="9" s="1"/>
  <c r="F31" i="9" s="1"/>
  <c r="G31" i="9" s="1"/>
  <c r="H31" i="9" s="1"/>
  <c r="I31" i="9" s="1"/>
  <c r="J31" i="9" s="1"/>
  <c r="D30" i="9"/>
  <c r="E30" i="9" s="1"/>
  <c r="F30" i="9" s="1"/>
  <c r="G30" i="9" s="1"/>
  <c r="H30" i="9" s="1"/>
  <c r="I30" i="9" s="1"/>
  <c r="J30" i="9" s="1"/>
  <c r="D26" i="9"/>
  <c r="D25" i="9"/>
  <c r="E25" i="9" s="1"/>
  <c r="D15" i="9"/>
  <c r="D22" i="9"/>
  <c r="E22" i="9" s="1"/>
  <c r="D21" i="9"/>
  <c r="E21" i="9" s="1"/>
  <c r="F21" i="9" s="1"/>
  <c r="G21" i="9" s="1"/>
  <c r="H21" i="9" s="1"/>
  <c r="I21" i="9" s="1"/>
  <c r="J21" i="9" s="1"/>
  <c r="J271" i="10"/>
  <c r="I271" i="10"/>
  <c r="J100" i="10"/>
  <c r="I100" i="10"/>
  <c r="J49" i="10"/>
  <c r="I49" i="10"/>
  <c r="D20" i="9"/>
  <c r="E20" i="9" s="1"/>
  <c r="F20" i="9" s="1"/>
  <c r="G20" i="9" s="1"/>
  <c r="H20" i="9" s="1"/>
  <c r="I20" i="9" s="1"/>
  <c r="J20" i="9" s="1"/>
  <c r="D12" i="9"/>
  <c r="E12" i="9" s="1"/>
  <c r="F12" i="9" s="1"/>
  <c r="G12" i="9" s="1"/>
  <c r="H12" i="9" s="1"/>
  <c r="I12" i="9" s="1"/>
  <c r="J12" i="9" s="1"/>
  <c r="D11" i="9"/>
  <c r="E11" i="9" s="1"/>
  <c r="F11" i="9" s="1"/>
  <c r="G11" i="9" s="1"/>
  <c r="H11" i="9" s="1"/>
  <c r="I11" i="9" s="1"/>
  <c r="J11" i="9" s="1"/>
  <c r="D9" i="9"/>
  <c r="O3" i="9"/>
  <c r="J44" i="9" s="1"/>
  <c r="J112" i="9" s="1"/>
  <c r="T112" i="9" s="1"/>
  <c r="G4" i="9"/>
  <c r="H4" i="9" s="1"/>
  <c r="I4" i="9" s="1"/>
  <c r="J4" i="9" s="1"/>
  <c r="J77" i="9" l="1"/>
  <c r="E8" i="15"/>
  <c r="N118" i="8"/>
  <c r="N156" i="8"/>
  <c r="E37" i="8"/>
  <c r="J38" i="8" s="1"/>
  <c r="E45" i="8"/>
  <c r="J79" i="9"/>
  <c r="I106" i="9"/>
  <c r="E9" i="15" s="1"/>
  <c r="J84" i="9"/>
  <c r="P122" i="12"/>
  <c r="P116" i="12"/>
  <c r="F37" i="8"/>
  <c r="K38" i="8" s="1"/>
  <c r="N168" i="8"/>
  <c r="F45" i="8"/>
  <c r="N19" i="12"/>
  <c r="N21" i="12" s="1"/>
  <c r="N17" i="12"/>
  <c r="G36" i="8"/>
  <c r="G37" i="8" s="1"/>
  <c r="L38" i="8" s="1"/>
  <c r="H109" i="8"/>
  <c r="H36" i="8" s="1"/>
  <c r="H37" i="8" s="1"/>
  <c r="M38" i="8" s="1"/>
  <c r="O74" i="12"/>
  <c r="O75" i="12" s="1"/>
  <c r="J21" i="12"/>
  <c r="J48" i="12" s="1"/>
  <c r="I16" i="12"/>
  <c r="P17" i="12"/>
  <c r="P19" i="12" s="1"/>
  <c r="P118" i="8" s="1"/>
  <c r="F17" i="12"/>
  <c r="F19" i="12" s="1"/>
  <c r="F118" i="8" s="1"/>
  <c r="J30" i="12"/>
  <c r="E17" i="12"/>
  <c r="E19" i="12" s="1"/>
  <c r="E118" i="8" s="1"/>
  <c r="I15" i="12"/>
  <c r="I76" i="12"/>
  <c r="Q10" i="12"/>
  <c r="H110" i="12"/>
  <c r="H44" i="12" s="1"/>
  <c r="H45" i="12" s="1"/>
  <c r="G44" i="12"/>
  <c r="G45" i="12" s="1"/>
  <c r="N61" i="12"/>
  <c r="N30" i="12"/>
  <c r="Q161" i="12"/>
  <c r="Q160" i="12"/>
  <c r="Q32" i="12" s="1"/>
  <c r="Q35" i="12" s="1"/>
  <c r="Q37" i="12" s="1"/>
  <c r="Q163" i="12"/>
  <c r="I132" i="12"/>
  <c r="I12" i="12" s="1"/>
  <c r="I133" i="12"/>
  <c r="G28" i="12"/>
  <c r="G29" i="12" s="1"/>
  <c r="H108" i="12"/>
  <c r="H28" i="12" s="1"/>
  <c r="H29" i="12" s="1"/>
  <c r="Q139" i="12"/>
  <c r="Q141" i="12"/>
  <c r="Q138" i="12"/>
  <c r="Q13" i="12" s="1"/>
  <c r="Q16" i="12" s="1"/>
  <c r="O108" i="12"/>
  <c r="O28" i="12" s="1"/>
  <c r="O29" i="12" s="1"/>
  <c r="O20" i="12"/>
  <c r="O21" i="12" s="1"/>
  <c r="P107" i="12"/>
  <c r="P38" i="12"/>
  <c r="P72" i="12"/>
  <c r="P74" i="12" s="1"/>
  <c r="K20" i="12"/>
  <c r="K21" i="12" s="1"/>
  <c r="K108" i="12"/>
  <c r="K28" i="12" s="1"/>
  <c r="K29" i="12" s="1"/>
  <c r="L107" i="12"/>
  <c r="H107" i="12"/>
  <c r="G20" i="12"/>
  <c r="G21" i="12" s="1"/>
  <c r="Q132" i="12"/>
  <c r="Q12" i="12" s="1"/>
  <c r="Q15" i="12" s="1"/>
  <c r="Q133" i="12"/>
  <c r="Q135" i="12"/>
  <c r="Q73" i="12"/>
  <c r="Q46" i="12"/>
  <c r="N76" i="12"/>
  <c r="N75" i="12"/>
  <c r="P129" i="8"/>
  <c r="P123" i="8"/>
  <c r="G147" i="9"/>
  <c r="H147" i="9" s="1"/>
  <c r="I147" i="9" s="1"/>
  <c r="J147" i="9" s="1"/>
  <c r="N165" i="9"/>
  <c r="A198" i="9"/>
  <c r="N198" i="9" s="1"/>
  <c r="N15" i="8"/>
  <c r="N16" i="8"/>
  <c r="M17" i="8"/>
  <c r="G148" i="8"/>
  <c r="I148" i="8" s="1"/>
  <c r="N125" i="8"/>
  <c r="K17" i="8"/>
  <c r="J17" i="8"/>
  <c r="L17" i="8"/>
  <c r="F145" i="8"/>
  <c r="F13" i="8" s="1"/>
  <c r="F16" i="8" s="1"/>
  <c r="H110" i="8"/>
  <c r="H44" i="8" s="1"/>
  <c r="H45" i="8" s="1"/>
  <c r="G44" i="8"/>
  <c r="G45" i="8" s="1"/>
  <c r="E15" i="8"/>
  <c r="H16" i="8"/>
  <c r="F15" i="8"/>
  <c r="H139" i="8"/>
  <c r="H12" i="8" s="1"/>
  <c r="H15" i="8" s="1"/>
  <c r="G15" i="8"/>
  <c r="G17" i="8" s="1"/>
  <c r="I170" i="8"/>
  <c r="I142" i="8"/>
  <c r="J179" i="9"/>
  <c r="T179" i="9" s="1"/>
  <c r="T212" i="9" s="1"/>
  <c r="F63" i="9"/>
  <c r="F131" i="9" s="1"/>
  <c r="H29" i="9"/>
  <c r="G63" i="9"/>
  <c r="G131" i="9" s="1"/>
  <c r="N146" i="9"/>
  <c r="A179" i="9"/>
  <c r="N179" i="9" s="1"/>
  <c r="N147" i="9"/>
  <c r="A180" i="9"/>
  <c r="N180" i="9" s="1"/>
  <c r="N213" i="9" s="1"/>
  <c r="F44" i="9"/>
  <c r="F112" i="9" s="1"/>
  <c r="G44" i="9"/>
  <c r="G112" i="9" s="1"/>
  <c r="H44" i="9"/>
  <c r="H112" i="9" s="1"/>
  <c r="I44" i="9"/>
  <c r="I112" i="9" s="1"/>
  <c r="E9" i="9"/>
  <c r="D38" i="9"/>
  <c r="J51" i="9"/>
  <c r="J119" i="9" s="1"/>
  <c r="J64" i="9"/>
  <c r="J132" i="9" s="1"/>
  <c r="J65" i="9"/>
  <c r="J133" i="9" s="1"/>
  <c r="J55" i="9"/>
  <c r="J123" i="9" s="1"/>
  <c r="J54" i="9"/>
  <c r="J122" i="9" s="1"/>
  <c r="J46" i="9"/>
  <c r="J114" i="9" s="1"/>
  <c r="J45" i="9"/>
  <c r="J113" i="9" s="1"/>
  <c r="I65" i="9"/>
  <c r="I133" i="9" s="1"/>
  <c r="H65" i="9"/>
  <c r="H133" i="9" s="1"/>
  <c r="G36" i="9"/>
  <c r="F70" i="9"/>
  <c r="F138" i="9" s="1"/>
  <c r="H16" i="9"/>
  <c r="I16" i="9" s="1"/>
  <c r="J16" i="9" s="1"/>
  <c r="J50" i="9" s="1"/>
  <c r="G50" i="9"/>
  <c r="G118" i="9" s="1"/>
  <c r="G32" i="9"/>
  <c r="F66" i="9"/>
  <c r="F134" i="9" s="1"/>
  <c r="J35" i="9"/>
  <c r="J69" i="9" s="1"/>
  <c r="J137" i="9" s="1"/>
  <c r="I69" i="9"/>
  <c r="I137" i="9" s="1"/>
  <c r="F51" i="9"/>
  <c r="F119" i="9" s="1"/>
  <c r="G51" i="9"/>
  <c r="G119" i="9" s="1"/>
  <c r="H51" i="9"/>
  <c r="H119" i="9" s="1"/>
  <c r="F64" i="9"/>
  <c r="F132" i="9" s="1"/>
  <c r="I51" i="9"/>
  <c r="I119" i="9" s="1"/>
  <c r="G64" i="9"/>
  <c r="G132" i="9" s="1"/>
  <c r="G65" i="9"/>
  <c r="G133" i="9" s="1"/>
  <c r="H64" i="9"/>
  <c r="H132" i="9" s="1"/>
  <c r="F65" i="9"/>
  <c r="F133" i="9" s="1"/>
  <c r="I64" i="9"/>
  <c r="I132" i="9" s="1"/>
  <c r="F69" i="9"/>
  <c r="F137" i="9" s="1"/>
  <c r="G69" i="9"/>
  <c r="G137" i="9" s="1"/>
  <c r="H69" i="9"/>
  <c r="H137" i="9" s="1"/>
  <c r="I45" i="9"/>
  <c r="I113" i="9" s="1"/>
  <c r="H45" i="9"/>
  <c r="H113" i="9" s="1"/>
  <c r="G45" i="9"/>
  <c r="G113" i="9" s="1"/>
  <c r="F45" i="9"/>
  <c r="F113" i="9" s="1"/>
  <c r="F50" i="9"/>
  <c r="F118" i="9" s="1"/>
  <c r="F22" i="9"/>
  <c r="F25" i="9"/>
  <c r="F59" i="9" s="1"/>
  <c r="F127" i="9" s="1"/>
  <c r="F55" i="9"/>
  <c r="F123" i="9" s="1"/>
  <c r="I55" i="9"/>
  <c r="I123" i="9" s="1"/>
  <c r="E26" i="9"/>
  <c r="I46" i="9"/>
  <c r="I114" i="9" s="1"/>
  <c r="F54" i="9"/>
  <c r="F122" i="9" s="1"/>
  <c r="E15" i="9"/>
  <c r="H46" i="9"/>
  <c r="H114" i="9" s="1"/>
  <c r="G54" i="9"/>
  <c r="G122" i="9" s="1"/>
  <c r="G55" i="9"/>
  <c r="G123" i="9" s="1"/>
  <c r="H55" i="9"/>
  <c r="H123" i="9" s="1"/>
  <c r="G46" i="9"/>
  <c r="G114" i="9" s="1"/>
  <c r="H54" i="9"/>
  <c r="H122" i="9" s="1"/>
  <c r="F46" i="9"/>
  <c r="F114" i="9" s="1"/>
  <c r="I54" i="9"/>
  <c r="I122" i="9" s="1"/>
  <c r="D48" i="1"/>
  <c r="C48" i="1"/>
  <c r="G37" i="1"/>
  <c r="H37" i="1" s="1"/>
  <c r="I37" i="1" s="1"/>
  <c r="K37" i="1" s="1"/>
  <c r="L37" i="1" s="1"/>
  <c r="M37" i="1" s="1"/>
  <c r="N37" i="1" s="1"/>
  <c r="D36" i="1"/>
  <c r="C36" i="1"/>
  <c r="D89" i="1"/>
  <c r="E89" i="1" s="1"/>
  <c r="F89" i="1" s="1"/>
  <c r="G89" i="1" s="1"/>
  <c r="H89" i="1" s="1"/>
  <c r="I89" i="1" s="1"/>
  <c r="J89" i="1" s="1"/>
  <c r="K89" i="1" s="1"/>
  <c r="L89" i="1" s="1"/>
  <c r="M89" i="1" s="1"/>
  <c r="N89" i="1" s="1"/>
  <c r="D29" i="1"/>
  <c r="C18" i="15" s="1"/>
  <c r="C29" i="1"/>
  <c r="B18" i="15" s="1"/>
  <c r="D25" i="1"/>
  <c r="C25" i="1"/>
  <c r="B14" i="15" s="1"/>
  <c r="D86" i="1"/>
  <c r="E86" i="1" s="1"/>
  <c r="F86" i="1" s="1"/>
  <c r="G86" i="1" s="1"/>
  <c r="H86" i="1" s="1"/>
  <c r="I86" i="1" s="1"/>
  <c r="J86" i="1" s="1"/>
  <c r="K86" i="1" s="1"/>
  <c r="L86" i="1" s="1"/>
  <c r="M86" i="1" s="1"/>
  <c r="N86" i="1" s="1"/>
  <c r="D87" i="1"/>
  <c r="E87" i="1" s="1"/>
  <c r="F87" i="1" s="1"/>
  <c r="G87" i="1" s="1"/>
  <c r="H87" i="1" s="1"/>
  <c r="I87" i="1" s="1"/>
  <c r="J87" i="1" s="1"/>
  <c r="K87" i="1" s="1"/>
  <c r="L87" i="1" s="1"/>
  <c r="M87" i="1" s="1"/>
  <c r="N87" i="1" s="1"/>
  <c r="D88" i="1"/>
  <c r="E88" i="1" s="1"/>
  <c r="F88" i="1" s="1"/>
  <c r="G88" i="1" s="1"/>
  <c r="H88" i="1" s="1"/>
  <c r="I88" i="1" s="1"/>
  <c r="J88" i="1" s="1"/>
  <c r="K88" i="1" s="1"/>
  <c r="L88" i="1" s="1"/>
  <c r="M88" i="1" s="1"/>
  <c r="N88" i="1" s="1"/>
  <c r="D90" i="1"/>
  <c r="E90" i="1" s="1"/>
  <c r="F90" i="1" s="1"/>
  <c r="G90" i="1" s="1"/>
  <c r="H90" i="1" s="1"/>
  <c r="I90" i="1" s="1"/>
  <c r="J90" i="1" s="1"/>
  <c r="K90" i="1" s="1"/>
  <c r="L90" i="1" s="1"/>
  <c r="M90" i="1" s="1"/>
  <c r="N90" i="1" s="1"/>
  <c r="C87" i="1"/>
  <c r="C88" i="1"/>
  <c r="C90" i="1"/>
  <c r="C86" i="1"/>
  <c r="A79" i="1"/>
  <c r="A90" i="1" s="1"/>
  <c r="A96" i="1" s="1"/>
  <c r="A76" i="1"/>
  <c r="A89" i="1" s="1"/>
  <c r="A95" i="1" s="1"/>
  <c r="A73" i="1"/>
  <c r="A88" i="1" s="1"/>
  <c r="A94" i="1" s="1"/>
  <c r="A70" i="1"/>
  <c r="A87" i="1" s="1"/>
  <c r="A93" i="1" s="1"/>
  <c r="A67" i="1"/>
  <c r="A86" i="1" s="1"/>
  <c r="A92" i="1" s="1"/>
  <c r="N51" i="8"/>
  <c r="I51" i="8"/>
  <c r="B2" i="1"/>
  <c r="N97" i="8"/>
  <c r="O97" i="8" s="1"/>
  <c r="P97" i="8" s="1"/>
  <c r="Q97" i="8" s="1"/>
  <c r="N93" i="8"/>
  <c r="O93" i="8" s="1"/>
  <c r="P93" i="8" s="1"/>
  <c r="Q93" i="8" s="1"/>
  <c r="F8" i="15" l="1"/>
  <c r="C14" i="15"/>
  <c r="E25" i="1"/>
  <c r="F25" i="1" s="1"/>
  <c r="G25" i="1" s="1"/>
  <c r="H25" i="1" s="1"/>
  <c r="I25" i="1" s="1"/>
  <c r="J25" i="1" s="1"/>
  <c r="K25" i="1" s="1"/>
  <c r="L25" i="1" s="1"/>
  <c r="M25" i="1" s="1"/>
  <c r="N25" i="1" s="1"/>
  <c r="D27" i="1"/>
  <c r="C51" i="1"/>
  <c r="B25" i="15"/>
  <c r="D51" i="1"/>
  <c r="C25" i="15"/>
  <c r="I118" i="8"/>
  <c r="J106" i="9"/>
  <c r="F9" i="15" s="1"/>
  <c r="J118" i="9"/>
  <c r="T118" i="9" s="1"/>
  <c r="Q122" i="12"/>
  <c r="Q116" i="12"/>
  <c r="N48" i="12"/>
  <c r="N90" i="12" s="1"/>
  <c r="N62" i="12"/>
  <c r="N63" i="12" s="1"/>
  <c r="F21" i="12"/>
  <c r="F48" i="12" s="1"/>
  <c r="O76" i="12"/>
  <c r="I17" i="12"/>
  <c r="G48" i="12"/>
  <c r="Q17" i="12"/>
  <c r="Q19" i="12" s="1"/>
  <c r="Q118" i="8" s="1"/>
  <c r="P75" i="12"/>
  <c r="P76" i="12"/>
  <c r="P108" i="12"/>
  <c r="P28" i="12" s="1"/>
  <c r="P29" i="12" s="1"/>
  <c r="Q107" i="12"/>
  <c r="P20" i="12"/>
  <c r="P21" i="12" s="1"/>
  <c r="M107" i="12"/>
  <c r="H20" i="12"/>
  <c r="H21" i="12" s="1"/>
  <c r="H48" i="12" s="1"/>
  <c r="O62" i="12"/>
  <c r="O22" i="12"/>
  <c r="L108" i="12"/>
  <c r="L28" i="12" s="1"/>
  <c r="L29" i="12" s="1"/>
  <c r="L20" i="12"/>
  <c r="L21" i="12" s="1"/>
  <c r="L22" i="12" s="1"/>
  <c r="O61" i="12"/>
  <c r="O30" i="12"/>
  <c r="O48" i="12"/>
  <c r="Q38" i="12"/>
  <c r="Q72" i="12"/>
  <c r="Q74" i="12" s="1"/>
  <c r="I19" i="12"/>
  <c r="I21" i="12" s="1"/>
  <c r="E21" i="12"/>
  <c r="K30" i="12"/>
  <c r="K48" i="12"/>
  <c r="Q129" i="8"/>
  <c r="Q123" i="8"/>
  <c r="I16" i="8"/>
  <c r="E17" i="8"/>
  <c r="I15" i="8"/>
  <c r="O51" i="8"/>
  <c r="P51" i="8" s="1"/>
  <c r="Q51" i="8" s="1"/>
  <c r="G79" i="1" s="1"/>
  <c r="G96" i="1" s="1"/>
  <c r="J51" i="8"/>
  <c r="K51" i="8" s="1"/>
  <c r="L51" i="8" s="1"/>
  <c r="M51" i="8" s="1"/>
  <c r="F17" i="8"/>
  <c r="H17" i="8"/>
  <c r="C79" i="1"/>
  <c r="C96" i="1" s="1"/>
  <c r="H51" i="8"/>
  <c r="S112" i="9"/>
  <c r="I179" i="9"/>
  <c r="S179" i="9" s="1"/>
  <c r="S212" i="9" s="1"/>
  <c r="R112" i="9"/>
  <c r="H179" i="9"/>
  <c r="R179" i="9" s="1"/>
  <c r="R212" i="9" s="1"/>
  <c r="Q112" i="9"/>
  <c r="G179" i="9"/>
  <c r="Q179" i="9" s="1"/>
  <c r="Q212" i="9" s="1"/>
  <c r="P112" i="9"/>
  <c r="F179" i="9"/>
  <c r="P179" i="9" s="1"/>
  <c r="P212" i="9" s="1"/>
  <c r="Q131" i="9"/>
  <c r="G198" i="9"/>
  <c r="Q198" i="9" s="1"/>
  <c r="Q231" i="9" s="1"/>
  <c r="P131" i="9"/>
  <c r="F198" i="9"/>
  <c r="P198" i="9" s="1"/>
  <c r="P231" i="9" s="1"/>
  <c r="I29" i="9"/>
  <c r="H63" i="9"/>
  <c r="H131" i="9" s="1"/>
  <c r="F9" i="9"/>
  <c r="E38" i="9"/>
  <c r="R119" i="9"/>
  <c r="H186" i="9"/>
  <c r="R186" i="9" s="1"/>
  <c r="R219" i="9" s="1"/>
  <c r="S113" i="9"/>
  <c r="I180" i="9"/>
  <c r="S180" i="9" s="1"/>
  <c r="S213" i="9" s="1"/>
  <c r="S133" i="9"/>
  <c r="I200" i="9"/>
  <c r="S200" i="9" s="1"/>
  <c r="S233" i="9" s="1"/>
  <c r="R113" i="9"/>
  <c r="H180" i="9"/>
  <c r="R180" i="9" s="1"/>
  <c r="R213" i="9" s="1"/>
  <c r="R133" i="9"/>
  <c r="H200" i="9"/>
  <c r="R200" i="9" s="1"/>
  <c r="R233" i="9" s="1"/>
  <c r="S122" i="9"/>
  <c r="I189" i="9"/>
  <c r="S189" i="9" s="1"/>
  <c r="S222" i="9" s="1"/>
  <c r="P119" i="9"/>
  <c r="F186" i="9"/>
  <c r="P186" i="9" s="1"/>
  <c r="P219" i="9" s="1"/>
  <c r="P114" i="9"/>
  <c r="F181" i="9"/>
  <c r="P181" i="9" s="1"/>
  <c r="P214" i="9" s="1"/>
  <c r="Q137" i="9"/>
  <c r="G204" i="9"/>
  <c r="Q204" i="9" s="1"/>
  <c r="Q237" i="9" s="1"/>
  <c r="P127" i="9"/>
  <c r="F194" i="9"/>
  <c r="P194" i="9" s="1"/>
  <c r="P227" i="9" s="1"/>
  <c r="T123" i="9"/>
  <c r="J190" i="9"/>
  <c r="T190" i="9" s="1"/>
  <c r="T223" i="9" s="1"/>
  <c r="S132" i="9"/>
  <c r="I199" i="9"/>
  <c r="S199" i="9" s="1"/>
  <c r="S232" i="9" s="1"/>
  <c r="S114" i="9"/>
  <c r="I181" i="9"/>
  <c r="S181" i="9" s="1"/>
  <c r="S214" i="9" s="1"/>
  <c r="Q119" i="9"/>
  <c r="G186" i="9"/>
  <c r="Q186" i="9" s="1"/>
  <c r="Q219" i="9" s="1"/>
  <c r="S123" i="9"/>
  <c r="I190" i="9"/>
  <c r="S190" i="9" s="1"/>
  <c r="S223" i="9" s="1"/>
  <c r="R137" i="9"/>
  <c r="H204" i="9"/>
  <c r="R204" i="9" s="1"/>
  <c r="R237" i="9" s="1"/>
  <c r="P123" i="9"/>
  <c r="F190" i="9"/>
  <c r="P190" i="9" s="1"/>
  <c r="P223" i="9" s="1"/>
  <c r="T113" i="9"/>
  <c r="J180" i="9"/>
  <c r="T180" i="9" s="1"/>
  <c r="T213" i="9" s="1"/>
  <c r="R122" i="9"/>
  <c r="H189" i="9"/>
  <c r="R189" i="9" s="1"/>
  <c r="R222" i="9" s="1"/>
  <c r="P137" i="9"/>
  <c r="F204" i="9"/>
  <c r="P204" i="9" s="1"/>
  <c r="P237" i="9" s="1"/>
  <c r="T114" i="9"/>
  <c r="J181" i="9"/>
  <c r="T181" i="9" s="1"/>
  <c r="T214" i="9" s="1"/>
  <c r="Q114" i="9"/>
  <c r="G181" i="9"/>
  <c r="Q181" i="9" s="1"/>
  <c r="Q214" i="9" s="1"/>
  <c r="S137" i="9"/>
  <c r="I204" i="9"/>
  <c r="S204" i="9" s="1"/>
  <c r="S237" i="9" s="1"/>
  <c r="R123" i="9"/>
  <c r="H190" i="9"/>
  <c r="R190" i="9" s="1"/>
  <c r="R223" i="9" s="1"/>
  <c r="P118" i="9"/>
  <c r="F185" i="9"/>
  <c r="P185" i="9" s="1"/>
  <c r="P218" i="9" s="1"/>
  <c r="P133" i="9"/>
  <c r="F200" i="9"/>
  <c r="P200" i="9" s="1"/>
  <c r="P233" i="9" s="1"/>
  <c r="T137" i="9"/>
  <c r="J204" i="9"/>
  <c r="T204" i="9" s="1"/>
  <c r="T237" i="9" s="1"/>
  <c r="T122" i="9"/>
  <c r="J189" i="9"/>
  <c r="T189" i="9" s="1"/>
  <c r="T222" i="9" s="1"/>
  <c r="Q123" i="9"/>
  <c r="G190" i="9"/>
  <c r="Q190" i="9" s="1"/>
  <c r="Q223" i="9" s="1"/>
  <c r="R132" i="9"/>
  <c r="H199" i="9"/>
  <c r="R199" i="9" s="1"/>
  <c r="R232" i="9" s="1"/>
  <c r="P134" i="9"/>
  <c r="F201" i="9"/>
  <c r="P201" i="9" s="1"/>
  <c r="P234" i="9" s="1"/>
  <c r="Q122" i="9"/>
  <c r="G189" i="9"/>
  <c r="Q189" i="9" s="1"/>
  <c r="Q222" i="9" s="1"/>
  <c r="Q133" i="9"/>
  <c r="G200" i="9"/>
  <c r="Q200" i="9" s="1"/>
  <c r="Q233" i="9" s="1"/>
  <c r="R114" i="9"/>
  <c r="H181" i="9"/>
  <c r="R181" i="9" s="1"/>
  <c r="R214" i="9" s="1"/>
  <c r="Q132" i="9"/>
  <c r="G199" i="9"/>
  <c r="Q199" i="9" s="1"/>
  <c r="Q232" i="9" s="1"/>
  <c r="Q118" i="9"/>
  <c r="G185" i="9"/>
  <c r="Q185" i="9" s="1"/>
  <c r="Q218" i="9" s="1"/>
  <c r="T133" i="9"/>
  <c r="J200" i="9"/>
  <c r="T200" i="9" s="1"/>
  <c r="T233" i="9" s="1"/>
  <c r="P113" i="9"/>
  <c r="F180" i="9"/>
  <c r="P180" i="9" s="1"/>
  <c r="P213" i="9" s="1"/>
  <c r="S119" i="9"/>
  <c r="I186" i="9"/>
  <c r="S186" i="9" s="1"/>
  <c r="S219" i="9" s="1"/>
  <c r="T132" i="9"/>
  <c r="J199" i="9"/>
  <c r="T199" i="9" s="1"/>
  <c r="T232" i="9" s="1"/>
  <c r="P122" i="9"/>
  <c r="F189" i="9"/>
  <c r="P189" i="9" s="1"/>
  <c r="P222" i="9" s="1"/>
  <c r="Q113" i="9"/>
  <c r="G180" i="9"/>
  <c r="Q180" i="9" s="1"/>
  <c r="Q213" i="9" s="1"/>
  <c r="P132" i="9"/>
  <c r="F199" i="9"/>
  <c r="P199" i="9" s="1"/>
  <c r="P232" i="9" s="1"/>
  <c r="P138" i="9"/>
  <c r="F205" i="9"/>
  <c r="P205" i="9" s="1"/>
  <c r="P238" i="9" s="1"/>
  <c r="T119" i="9"/>
  <c r="J186" i="9"/>
  <c r="T186" i="9" s="1"/>
  <c r="T219" i="9" s="1"/>
  <c r="I50" i="9"/>
  <c r="I118" i="9" s="1"/>
  <c r="H50" i="9"/>
  <c r="H118" i="9" s="1"/>
  <c r="H32" i="9"/>
  <c r="G66" i="9"/>
  <c r="G134" i="9" s="1"/>
  <c r="H36" i="9"/>
  <c r="G70" i="9"/>
  <c r="G138" i="9" s="1"/>
  <c r="G25" i="9"/>
  <c r="G59" i="9" s="1"/>
  <c r="G127" i="9" s="1"/>
  <c r="F15" i="9"/>
  <c r="F26" i="9"/>
  <c r="F60" i="9" s="1"/>
  <c r="F128" i="9" s="1"/>
  <c r="G22" i="9"/>
  <c r="F56" i="9"/>
  <c r="F124" i="9" s="1"/>
  <c r="D79" i="1"/>
  <c r="D96" i="1" s="1"/>
  <c r="O130" i="8"/>
  <c r="P130" i="8" s="1"/>
  <c r="Q130" i="8" s="1"/>
  <c r="N68" i="8"/>
  <c r="O68" i="8" s="1"/>
  <c r="P68" i="8" s="1"/>
  <c r="Q68" i="8" s="1"/>
  <c r="N67" i="8"/>
  <c r="O67" i="8" s="1"/>
  <c r="P67" i="8" s="1"/>
  <c r="Q67" i="8" s="1"/>
  <c r="I69" i="8"/>
  <c r="N69" i="8" s="1"/>
  <c r="O69" i="8" s="1"/>
  <c r="P69" i="8" s="1"/>
  <c r="Q69" i="8" s="1"/>
  <c r="N56" i="8"/>
  <c r="O56" i="8" s="1"/>
  <c r="P56" i="8" s="1"/>
  <c r="Q56" i="8" s="1"/>
  <c r="N57" i="8"/>
  <c r="O57" i="8" s="1"/>
  <c r="P57" i="8" s="1"/>
  <c r="Q57" i="8" s="1"/>
  <c r="N55" i="8"/>
  <c r="O55" i="8" s="1"/>
  <c r="P55" i="8" s="1"/>
  <c r="Q55" i="8" s="1"/>
  <c r="I58" i="8"/>
  <c r="N58" i="8" s="1"/>
  <c r="O58" i="8" s="1"/>
  <c r="P58" i="8" s="1"/>
  <c r="Q58" i="8" s="1"/>
  <c r="O188" i="8"/>
  <c r="P188" i="8"/>
  <c r="Q188" i="8"/>
  <c r="O190" i="8"/>
  <c r="P190" i="8"/>
  <c r="Q190" i="8"/>
  <c r="N183" i="8"/>
  <c r="I183" i="8"/>
  <c r="I169" i="8"/>
  <c r="N169" i="8"/>
  <c r="O174" i="8"/>
  <c r="P174" i="8"/>
  <c r="Q174" i="8"/>
  <c r="O176" i="8"/>
  <c r="P176" i="8"/>
  <c r="Q176" i="8"/>
  <c r="O160" i="8"/>
  <c r="P160" i="8"/>
  <c r="Q160" i="8"/>
  <c r="O162" i="8"/>
  <c r="P162" i="8"/>
  <c r="Q162" i="8"/>
  <c r="AG23" i="3"/>
  <c r="K23" i="3"/>
  <c r="O155" i="8"/>
  <c r="P155" i="8" s="1"/>
  <c r="N155" i="8"/>
  <c r="I155" i="8"/>
  <c r="J185" i="9" l="1"/>
  <c r="T185" i="9" s="1"/>
  <c r="T218" i="9" s="1"/>
  <c r="K22" i="12"/>
  <c r="K49" i="12"/>
  <c r="E79" i="1"/>
  <c r="E96" i="1" s="1"/>
  <c r="I62" i="12"/>
  <c r="I63" i="12" s="1"/>
  <c r="N64" i="12" s="1"/>
  <c r="I48" i="12"/>
  <c r="N22" i="12"/>
  <c r="Q108" i="12"/>
  <c r="Q28" i="12" s="1"/>
  <c r="Q29" i="12" s="1"/>
  <c r="Q20" i="12"/>
  <c r="Q21" i="12" s="1"/>
  <c r="E48" i="12"/>
  <c r="J49" i="12" s="1"/>
  <c r="J22" i="12"/>
  <c r="M108" i="12"/>
  <c r="M28" i="12" s="1"/>
  <c r="M29" i="12" s="1"/>
  <c r="M20" i="12"/>
  <c r="M21" i="12" s="1"/>
  <c r="M22" i="12" s="1"/>
  <c r="P62" i="12"/>
  <c r="P22" i="12"/>
  <c r="Q75" i="12"/>
  <c r="Q76" i="12"/>
  <c r="P61" i="12"/>
  <c r="P30" i="12"/>
  <c r="P48" i="12"/>
  <c r="O49" i="12"/>
  <c r="O90" i="12"/>
  <c r="N65" i="12"/>
  <c r="N78" i="12"/>
  <c r="L30" i="12"/>
  <c r="L48" i="12"/>
  <c r="L49" i="12" s="1"/>
  <c r="N96" i="12"/>
  <c r="N92" i="12"/>
  <c r="O63" i="12"/>
  <c r="O182" i="8"/>
  <c r="F79" i="1"/>
  <c r="G80" i="1" s="1"/>
  <c r="R131" i="9"/>
  <c r="H198" i="9"/>
  <c r="R198" i="9" s="1"/>
  <c r="R231" i="9" s="1"/>
  <c r="J29" i="9"/>
  <c r="J63" i="9" s="1"/>
  <c r="J131" i="9" s="1"/>
  <c r="I63" i="9"/>
  <c r="I131" i="9" s="1"/>
  <c r="G9" i="9"/>
  <c r="F38" i="9"/>
  <c r="F43" i="9"/>
  <c r="Q138" i="9"/>
  <c r="G205" i="9"/>
  <c r="Q205" i="9" s="1"/>
  <c r="Q238" i="9" s="1"/>
  <c r="Q134" i="9"/>
  <c r="G201" i="9"/>
  <c r="Q201" i="9" s="1"/>
  <c r="Q234" i="9" s="1"/>
  <c r="R118" i="9"/>
  <c r="H185" i="9"/>
  <c r="R185" i="9" s="1"/>
  <c r="R218" i="9" s="1"/>
  <c r="S118" i="9"/>
  <c r="I185" i="9"/>
  <c r="S185" i="9" s="1"/>
  <c r="S218" i="9" s="1"/>
  <c r="P124" i="9"/>
  <c r="F191" i="9"/>
  <c r="P191" i="9" s="1"/>
  <c r="P224" i="9" s="1"/>
  <c r="P128" i="9"/>
  <c r="F195" i="9"/>
  <c r="P195" i="9" s="1"/>
  <c r="P228" i="9" s="1"/>
  <c r="Q127" i="9"/>
  <c r="G194" i="9"/>
  <c r="Q194" i="9" s="1"/>
  <c r="Q227" i="9" s="1"/>
  <c r="I36" i="9"/>
  <c r="H70" i="9"/>
  <c r="H138" i="9" s="1"/>
  <c r="I32" i="9"/>
  <c r="H66" i="9"/>
  <c r="H134" i="9" s="1"/>
  <c r="G56" i="9"/>
  <c r="G124" i="9" s="1"/>
  <c r="H22" i="9"/>
  <c r="G26" i="9"/>
  <c r="G60" i="9" s="1"/>
  <c r="G128" i="9" s="1"/>
  <c r="G15" i="9"/>
  <c r="F49" i="9"/>
  <c r="F117" i="9" s="1"/>
  <c r="H25" i="9"/>
  <c r="H59" i="9" s="1"/>
  <c r="H127" i="9" s="1"/>
  <c r="O170" i="8"/>
  <c r="P168" i="8"/>
  <c r="P170" i="8"/>
  <c r="O168" i="8"/>
  <c r="P156" i="8"/>
  <c r="P154" i="8"/>
  <c r="Q155" i="8"/>
  <c r="O156" i="8"/>
  <c r="O154" i="8"/>
  <c r="F10" i="1"/>
  <c r="O124" i="8"/>
  <c r="AG7" i="3"/>
  <c r="AG8" i="3"/>
  <c r="AG9" i="3"/>
  <c r="AG10" i="3"/>
  <c r="N130" i="8"/>
  <c r="N124" i="8"/>
  <c r="AH9" i="3"/>
  <c r="AH7" i="3"/>
  <c r="AH12" i="3"/>
  <c r="AH10" i="3"/>
  <c r="N147" i="8"/>
  <c r="N141" i="8"/>
  <c r="N44" i="8"/>
  <c r="O44" i="8"/>
  <c r="P44" i="8"/>
  <c r="Q44" i="8"/>
  <c r="I44" i="8"/>
  <c r="N36" i="8"/>
  <c r="O36" i="8"/>
  <c r="P36" i="8"/>
  <c r="Q36" i="8"/>
  <c r="I36" i="8"/>
  <c r="A36" i="8"/>
  <c r="A44" i="8" s="1"/>
  <c r="AG12" i="3"/>
  <c r="E80" i="1" l="1"/>
  <c r="F96" i="1"/>
  <c r="F80" i="1"/>
  <c r="P63" i="12"/>
  <c r="P65" i="12" s="1"/>
  <c r="N85" i="12"/>
  <c r="N98" i="12" s="1"/>
  <c r="N84" i="12"/>
  <c r="N94" i="12" s="1"/>
  <c r="N80" i="12"/>
  <c r="N86" i="12"/>
  <c r="M30" i="12"/>
  <c r="M48" i="12"/>
  <c r="M49" i="12" s="1"/>
  <c r="O100" i="12"/>
  <c r="O92" i="12"/>
  <c r="O96" i="12"/>
  <c r="P49" i="12"/>
  <c r="P90" i="12"/>
  <c r="Q22" i="12"/>
  <c r="Q62" i="12"/>
  <c r="Q61" i="12"/>
  <c r="Q30" i="12"/>
  <c r="Q48" i="12"/>
  <c r="O65" i="12"/>
  <c r="O64" i="12"/>
  <c r="O78" i="12"/>
  <c r="I90" i="12"/>
  <c r="N49" i="12"/>
  <c r="I65" i="12"/>
  <c r="I78" i="12"/>
  <c r="Q182" i="8"/>
  <c r="P182" i="8"/>
  <c r="S131" i="9"/>
  <c r="I198" i="9"/>
  <c r="S198" i="9" s="1"/>
  <c r="S231" i="9" s="1"/>
  <c r="T131" i="9"/>
  <c r="J198" i="9"/>
  <c r="T198" i="9" s="1"/>
  <c r="T231" i="9" s="1"/>
  <c r="F111" i="9"/>
  <c r="F140" i="9" s="1"/>
  <c r="F72" i="9"/>
  <c r="P111" i="9"/>
  <c r="F178" i="9"/>
  <c r="P178" i="9" s="1"/>
  <c r="P211" i="9" s="1"/>
  <c r="H9" i="9"/>
  <c r="G38" i="9"/>
  <c r="G43" i="9"/>
  <c r="R127" i="9"/>
  <c r="H194" i="9"/>
  <c r="R194" i="9" s="1"/>
  <c r="R227" i="9" s="1"/>
  <c r="P117" i="9"/>
  <c r="F184" i="9"/>
  <c r="P184" i="9" s="1"/>
  <c r="P217" i="9" s="1"/>
  <c r="Q128" i="9"/>
  <c r="G195" i="9"/>
  <c r="Q195" i="9" s="1"/>
  <c r="Q228" i="9" s="1"/>
  <c r="Q124" i="9"/>
  <c r="G191" i="9"/>
  <c r="Q191" i="9" s="1"/>
  <c r="Q224" i="9" s="1"/>
  <c r="R134" i="9"/>
  <c r="H201" i="9"/>
  <c r="R201" i="9" s="1"/>
  <c r="R234" i="9" s="1"/>
  <c r="R138" i="9"/>
  <c r="H205" i="9"/>
  <c r="R205" i="9" s="1"/>
  <c r="R238" i="9" s="1"/>
  <c r="J32" i="9"/>
  <c r="J66" i="9" s="1"/>
  <c r="J134" i="9" s="1"/>
  <c r="I66" i="9"/>
  <c r="I134" i="9" s="1"/>
  <c r="J36" i="9"/>
  <c r="J70" i="9" s="1"/>
  <c r="J138" i="9" s="1"/>
  <c r="I70" i="9"/>
  <c r="I138" i="9" s="1"/>
  <c r="I25" i="9"/>
  <c r="I59" i="9" s="1"/>
  <c r="I127" i="9" s="1"/>
  <c r="H26" i="9"/>
  <c r="H60" i="9" s="1"/>
  <c r="H128" i="9" s="1"/>
  <c r="H15" i="9"/>
  <c r="G49" i="9"/>
  <c r="G117" i="9" s="1"/>
  <c r="I22" i="9"/>
  <c r="H56" i="9"/>
  <c r="H124" i="9" s="1"/>
  <c r="N134" i="8"/>
  <c r="Q170" i="8"/>
  <c r="Q168" i="8"/>
  <c r="Q156" i="8"/>
  <c r="Q154" i="8"/>
  <c r="O141" i="8"/>
  <c r="N140" i="8"/>
  <c r="I147" i="8"/>
  <c r="I145" i="8" s="1"/>
  <c r="O147" i="8"/>
  <c r="P147" i="8" s="1"/>
  <c r="N146" i="8"/>
  <c r="P124" i="8"/>
  <c r="O125" i="8"/>
  <c r="A16" i="8"/>
  <c r="A15" i="8"/>
  <c r="A187" i="8"/>
  <c r="A181" i="8"/>
  <c r="A173" i="8"/>
  <c r="A167" i="8"/>
  <c r="A159" i="8"/>
  <c r="O159" i="8"/>
  <c r="A153" i="8"/>
  <c r="A145" i="8"/>
  <c r="A139" i="8"/>
  <c r="A128" i="8"/>
  <c r="N128" i="8"/>
  <c r="N9" i="8" s="1"/>
  <c r="A122" i="8"/>
  <c r="T49" i="3"/>
  <c r="S49" i="3"/>
  <c r="R49" i="3"/>
  <c r="Q49" i="3"/>
  <c r="P49" i="3"/>
  <c r="O49" i="3"/>
  <c r="N49" i="3"/>
  <c r="M49" i="3"/>
  <c r="L49" i="3"/>
  <c r="K49" i="3"/>
  <c r="J49" i="3"/>
  <c r="J53" i="3" s="1"/>
  <c r="I49" i="3"/>
  <c r="I53" i="3" s="1"/>
  <c r="I54" i="3" s="1"/>
  <c r="J54" i="3" s="1"/>
  <c r="AG48" i="3"/>
  <c r="U48" i="3"/>
  <c r="G48" i="3"/>
  <c r="C48" i="3"/>
  <c r="AG47" i="3"/>
  <c r="H47" i="3"/>
  <c r="G47" i="3"/>
  <c r="X32" i="3"/>
  <c r="W32" i="3"/>
  <c r="T32" i="3"/>
  <c r="S32" i="3"/>
  <c r="R32" i="3"/>
  <c r="Q32" i="3"/>
  <c r="P32" i="3"/>
  <c r="O32" i="3"/>
  <c r="N32" i="3"/>
  <c r="M32" i="3"/>
  <c r="L32" i="3"/>
  <c r="K32" i="3"/>
  <c r="AG32" i="3" s="1"/>
  <c r="J32" i="3"/>
  <c r="I32" i="3"/>
  <c r="AG31" i="3"/>
  <c r="X31" i="3"/>
  <c r="W31" i="3"/>
  <c r="V31" i="3"/>
  <c r="V32" i="3" s="1"/>
  <c r="AG30" i="3"/>
  <c r="AA30" i="3"/>
  <c r="AA31" i="3" s="1"/>
  <c r="AA32" i="3" s="1"/>
  <c r="Z30" i="3"/>
  <c r="Z31" i="3" s="1"/>
  <c r="Z32" i="3" s="1"/>
  <c r="Y30" i="3"/>
  <c r="Y49" i="3" s="1"/>
  <c r="X30" i="3"/>
  <c r="X49" i="3" s="1"/>
  <c r="W30" i="3"/>
  <c r="V30" i="3"/>
  <c r="W49" i="3" s="1"/>
  <c r="U30" i="3"/>
  <c r="V49" i="3" s="1"/>
  <c r="L28" i="3"/>
  <c r="P27" i="3"/>
  <c r="P28" i="3" s="1"/>
  <c r="O27" i="3"/>
  <c r="O28" i="3" s="1"/>
  <c r="N27" i="3"/>
  <c r="N28" i="3" s="1"/>
  <c r="M27" i="3"/>
  <c r="L27" i="3"/>
  <c r="O26" i="3"/>
  <c r="P26" i="3" s="1"/>
  <c r="Q26" i="3" s="1"/>
  <c r="N24" i="3"/>
  <c r="M24" i="3"/>
  <c r="N23" i="3"/>
  <c r="M23" i="3"/>
  <c r="L23" i="3"/>
  <c r="L24" i="3" s="1"/>
  <c r="O22" i="3"/>
  <c r="O23" i="3" s="1"/>
  <c r="O24" i="3" s="1"/>
  <c r="N22" i="3"/>
  <c r="G13" i="3"/>
  <c r="F13" i="3"/>
  <c r="E13" i="3"/>
  <c r="D13" i="3"/>
  <c r="AI12" i="3"/>
  <c r="AJ12" i="3" s="1"/>
  <c r="R12" i="3"/>
  <c r="J12" i="3"/>
  <c r="I12" i="3"/>
  <c r="C12" i="3"/>
  <c r="Q11" i="3"/>
  <c r="P11" i="3"/>
  <c r="O11" i="3"/>
  <c r="N11" i="3"/>
  <c r="M11" i="3"/>
  <c r="L11" i="3"/>
  <c r="K11" i="3"/>
  <c r="J11" i="3"/>
  <c r="J13" i="3" s="1"/>
  <c r="J18" i="3" s="1"/>
  <c r="J19" i="3" s="1"/>
  <c r="J41" i="3" s="1"/>
  <c r="I11" i="3"/>
  <c r="I13" i="3" s="1"/>
  <c r="I40" i="3" s="1"/>
  <c r="C11" i="3"/>
  <c r="AI10" i="3"/>
  <c r="AI13" i="3" s="1"/>
  <c r="N10" i="3"/>
  <c r="M10" i="3"/>
  <c r="L10" i="3"/>
  <c r="K10" i="3"/>
  <c r="J10" i="3"/>
  <c r="I10" i="3"/>
  <c r="C10" i="3"/>
  <c r="C47" i="3" s="1"/>
  <c r="T9" i="3"/>
  <c r="U9" i="3" s="1"/>
  <c r="S9" i="3"/>
  <c r="L9" i="3"/>
  <c r="L12" i="3" s="1"/>
  <c r="K9" i="3"/>
  <c r="J9" i="3"/>
  <c r="C9" i="3"/>
  <c r="R8" i="3"/>
  <c r="C8" i="3"/>
  <c r="R7" i="3"/>
  <c r="S7" i="3" s="1"/>
  <c r="T7" i="3" s="1"/>
  <c r="U7" i="3" s="1"/>
  <c r="V7" i="3" s="1"/>
  <c r="W7" i="3" s="1"/>
  <c r="X7" i="3" s="1"/>
  <c r="Y7" i="3" s="1"/>
  <c r="Z7" i="3" s="1"/>
  <c r="AA7" i="3" s="1"/>
  <c r="AB7" i="3" s="1"/>
  <c r="AC7" i="3" s="1"/>
  <c r="AD7" i="3" s="1"/>
  <c r="AE7" i="3" s="1"/>
  <c r="AF7" i="3" s="1"/>
  <c r="N7" i="3"/>
  <c r="O7" i="3" s="1"/>
  <c r="C7" i="3"/>
  <c r="N6" i="3"/>
  <c r="N17" i="3" s="1"/>
  <c r="M6" i="3"/>
  <c r="M17" i="3" s="1"/>
  <c r="L6" i="3"/>
  <c r="L17" i="3" s="1"/>
  <c r="K6" i="3"/>
  <c r="K17" i="3" s="1"/>
  <c r="J6" i="3"/>
  <c r="J17" i="3" s="1"/>
  <c r="I6" i="3"/>
  <c r="I17" i="3" s="1"/>
  <c r="H6" i="3"/>
  <c r="G6" i="3"/>
  <c r="F6" i="3"/>
  <c r="E6" i="3"/>
  <c r="D6" i="3"/>
  <c r="S5" i="3"/>
  <c r="S12" i="3" s="1"/>
  <c r="P5" i="3"/>
  <c r="N5" i="3"/>
  <c r="K5" i="3"/>
  <c r="H48" i="3" s="1"/>
  <c r="AH4" i="3"/>
  <c r="AG4" i="3"/>
  <c r="O3" i="3"/>
  <c r="P3" i="3" s="1"/>
  <c r="P64" i="12" l="1"/>
  <c r="P78" i="12"/>
  <c r="P79" i="12" s="1"/>
  <c r="O79" i="12"/>
  <c r="O85" i="12"/>
  <c r="O98" i="12" s="1"/>
  <c r="O84" i="12"/>
  <c r="O94" i="12" s="1"/>
  <c r="O80" i="12"/>
  <c r="O86" i="12"/>
  <c r="O102" i="12" s="1"/>
  <c r="I85" i="12"/>
  <c r="I84" i="12"/>
  <c r="I80" i="12"/>
  <c r="I86" i="12"/>
  <c r="Q49" i="12"/>
  <c r="Q90" i="12"/>
  <c r="Q63" i="12"/>
  <c r="AG49" i="3"/>
  <c r="P100" i="12"/>
  <c r="P92" i="12"/>
  <c r="P96" i="12"/>
  <c r="N87" i="12"/>
  <c r="I92" i="12"/>
  <c r="I96" i="12"/>
  <c r="N79" i="12"/>
  <c r="G111" i="9"/>
  <c r="G140" i="9" s="1"/>
  <c r="G72" i="9"/>
  <c r="I9" i="9"/>
  <c r="H38" i="9"/>
  <c r="H43" i="9"/>
  <c r="R124" i="9"/>
  <c r="H191" i="9"/>
  <c r="R191" i="9" s="1"/>
  <c r="R224" i="9" s="1"/>
  <c r="Q117" i="9"/>
  <c r="G184" i="9"/>
  <c r="Q184" i="9" s="1"/>
  <c r="Q217" i="9" s="1"/>
  <c r="R128" i="9"/>
  <c r="H195" i="9"/>
  <c r="R195" i="9" s="1"/>
  <c r="R228" i="9" s="1"/>
  <c r="S127" i="9"/>
  <c r="I194" i="9"/>
  <c r="S194" i="9" s="1"/>
  <c r="S227" i="9" s="1"/>
  <c r="S138" i="9"/>
  <c r="I205" i="9"/>
  <c r="S205" i="9" s="1"/>
  <c r="S238" i="9" s="1"/>
  <c r="T138" i="9"/>
  <c r="J205" i="9"/>
  <c r="T205" i="9" s="1"/>
  <c r="T238" i="9" s="1"/>
  <c r="S134" i="9"/>
  <c r="I201" i="9"/>
  <c r="S201" i="9" s="1"/>
  <c r="S234" i="9" s="1"/>
  <c r="T134" i="9"/>
  <c r="J201" i="9"/>
  <c r="T201" i="9" s="1"/>
  <c r="T234" i="9" s="1"/>
  <c r="J22" i="9"/>
  <c r="J56" i="9" s="1"/>
  <c r="J124" i="9" s="1"/>
  <c r="I56" i="9"/>
  <c r="I124" i="9" s="1"/>
  <c r="I15" i="9"/>
  <c r="H49" i="9"/>
  <c r="H117" i="9" s="1"/>
  <c r="I26" i="9"/>
  <c r="I60" i="9" s="1"/>
  <c r="I128" i="9" s="1"/>
  <c r="J25" i="9"/>
  <c r="J59" i="9" s="1"/>
  <c r="J127" i="9" s="1"/>
  <c r="O26" i="8"/>
  <c r="P125" i="8"/>
  <c r="Q124" i="8"/>
  <c r="O146" i="8"/>
  <c r="O148" i="8"/>
  <c r="I146" i="8"/>
  <c r="O140" i="8"/>
  <c r="O142" i="8"/>
  <c r="Q147" i="8"/>
  <c r="P148" i="8"/>
  <c r="P146" i="8"/>
  <c r="L13" i="3"/>
  <c r="S8" i="3"/>
  <c r="R11" i="3"/>
  <c r="N122" i="8"/>
  <c r="N8" i="8" s="1"/>
  <c r="N10" i="8" s="1"/>
  <c r="N167" i="8"/>
  <c r="N32" i="8" s="1"/>
  <c r="I187" i="8"/>
  <c r="I42" i="8" s="1"/>
  <c r="N187" i="8"/>
  <c r="N42" i="8" s="1"/>
  <c r="I159" i="8"/>
  <c r="I26" i="8" s="1"/>
  <c r="I173" i="8"/>
  <c r="I34" i="8" s="1"/>
  <c r="N159" i="8"/>
  <c r="N173" i="8"/>
  <c r="N34" i="8" s="1"/>
  <c r="N139" i="8"/>
  <c r="N12" i="8" s="1"/>
  <c r="I167" i="8"/>
  <c r="O187" i="8"/>
  <c r="O42" i="8" s="1"/>
  <c r="O173" i="8"/>
  <c r="O34" i="8" s="1"/>
  <c r="O167" i="8"/>
  <c r="O32" i="8" s="1"/>
  <c r="I153" i="8"/>
  <c r="N153" i="8"/>
  <c r="N24" i="8" s="1"/>
  <c r="O131" i="8"/>
  <c r="P131" i="8" s="1"/>
  <c r="Q131" i="8" s="1"/>
  <c r="I13" i="8"/>
  <c r="N145" i="8"/>
  <c r="N13" i="8" s="1"/>
  <c r="P159" i="8"/>
  <c r="O153" i="8"/>
  <c r="O24" i="8" s="1"/>
  <c r="O145" i="8"/>
  <c r="O13" i="8" s="1"/>
  <c r="O139" i="8"/>
  <c r="O12" i="8" s="1"/>
  <c r="I128" i="8"/>
  <c r="I9" i="8" s="1"/>
  <c r="I122" i="8"/>
  <c r="I8" i="8" s="1"/>
  <c r="L18" i="3"/>
  <c r="L19" i="3" s="1"/>
  <c r="L41" i="3" s="1"/>
  <c r="L40" i="3"/>
  <c r="U12" i="3"/>
  <c r="V9" i="3"/>
  <c r="W9" i="3" s="1"/>
  <c r="X9" i="3" s="1"/>
  <c r="Y9" i="3" s="1"/>
  <c r="Z9" i="3" s="1"/>
  <c r="AA9" i="3" s="1"/>
  <c r="AB9" i="3" s="1"/>
  <c r="AC9" i="3" s="1"/>
  <c r="AD9" i="3" s="1"/>
  <c r="AE9" i="3" s="1"/>
  <c r="AF9" i="3" s="1"/>
  <c r="P7" i="3"/>
  <c r="P10" i="3" s="1"/>
  <c r="O10" i="3"/>
  <c r="Q27" i="3"/>
  <c r="Q28" i="3" s="1"/>
  <c r="R26" i="3"/>
  <c r="AC30" i="3"/>
  <c r="P6" i="3"/>
  <c r="P17" i="3" s="1"/>
  <c r="Q3" i="3"/>
  <c r="AJ10" i="3"/>
  <c r="AJ13" i="3" s="1"/>
  <c r="K12" i="3"/>
  <c r="K13" i="3" s="1"/>
  <c r="O6" i="3"/>
  <c r="O17" i="3" s="1"/>
  <c r="K24" i="3"/>
  <c r="M9" i="3"/>
  <c r="AA49" i="3"/>
  <c r="P22" i="3"/>
  <c r="AB30" i="3"/>
  <c r="Y31" i="3"/>
  <c r="Y32" i="3" s="1"/>
  <c r="Z49" i="3"/>
  <c r="Q5" i="3"/>
  <c r="I18" i="3"/>
  <c r="J40" i="3"/>
  <c r="M28" i="3"/>
  <c r="T5" i="3"/>
  <c r="U49" i="3"/>
  <c r="U31" i="3"/>
  <c r="P86" i="12" l="1"/>
  <c r="P102" i="12" s="1"/>
  <c r="P80" i="12"/>
  <c r="P85" i="12"/>
  <c r="P98" i="12" s="1"/>
  <c r="P84" i="12"/>
  <c r="Q100" i="12"/>
  <c r="Q92" i="12"/>
  <c r="Q96" i="12"/>
  <c r="Q64" i="12"/>
  <c r="Q65" i="12"/>
  <c r="Q78" i="12"/>
  <c r="I87" i="12"/>
  <c r="N88" i="12" s="1"/>
  <c r="O87" i="12"/>
  <c r="O88" i="12" s="1"/>
  <c r="I98" i="12"/>
  <c r="I94" i="12"/>
  <c r="G178" i="9"/>
  <c r="Q178" i="9" s="1"/>
  <c r="Q211" i="9" s="1"/>
  <c r="I32" i="8"/>
  <c r="I35" i="8" s="1"/>
  <c r="I37" i="8" s="1"/>
  <c r="Q111" i="9"/>
  <c r="H111" i="9"/>
  <c r="H72" i="9"/>
  <c r="J9" i="9"/>
  <c r="I38" i="9"/>
  <c r="I43" i="9"/>
  <c r="T127" i="9"/>
  <c r="J194" i="9"/>
  <c r="T194" i="9" s="1"/>
  <c r="T227" i="9" s="1"/>
  <c r="S128" i="9"/>
  <c r="I195" i="9"/>
  <c r="S195" i="9" s="1"/>
  <c r="S228" i="9" s="1"/>
  <c r="R117" i="9"/>
  <c r="H184" i="9"/>
  <c r="R184" i="9" s="1"/>
  <c r="R217" i="9" s="1"/>
  <c r="S124" i="9"/>
  <c r="I191" i="9"/>
  <c r="S191" i="9" s="1"/>
  <c r="S224" i="9" s="1"/>
  <c r="T124" i="9"/>
  <c r="J191" i="9"/>
  <c r="T191" i="9" s="1"/>
  <c r="T224" i="9" s="1"/>
  <c r="J26" i="9"/>
  <c r="J60" i="9" s="1"/>
  <c r="J128" i="9" s="1"/>
  <c r="J15" i="9"/>
  <c r="J49" i="9" s="1"/>
  <c r="J117" i="9" s="1"/>
  <c r="I49" i="9"/>
  <c r="I117" i="9" s="1"/>
  <c r="O35" i="8"/>
  <c r="O37" i="8" s="1"/>
  <c r="E73" i="1" s="1"/>
  <c r="E94" i="1" s="1"/>
  <c r="N35" i="8"/>
  <c r="N37" i="8" s="1"/>
  <c r="D73" i="1" s="1"/>
  <c r="D94" i="1" s="1"/>
  <c r="O27" i="8"/>
  <c r="N26" i="8"/>
  <c r="N27" i="8" s="1"/>
  <c r="P26" i="8"/>
  <c r="I24" i="8"/>
  <c r="I27" i="8" s="1"/>
  <c r="Q125" i="8"/>
  <c r="Q146" i="8"/>
  <c r="Q148" i="8"/>
  <c r="T8" i="3"/>
  <c r="S11" i="3"/>
  <c r="N17" i="8"/>
  <c r="I10" i="8"/>
  <c r="P187" i="8"/>
  <c r="P42" i="8" s="1"/>
  <c r="P167" i="8"/>
  <c r="P32" i="8" s="1"/>
  <c r="P173" i="8"/>
  <c r="P34" i="8" s="1"/>
  <c r="Q159" i="8"/>
  <c r="P141" i="8"/>
  <c r="O128" i="8"/>
  <c r="O9" i="8" s="1"/>
  <c r="O16" i="8" s="1"/>
  <c r="O122" i="8"/>
  <c r="O8" i="8" s="1"/>
  <c r="O15" i="8" s="1"/>
  <c r="M12" i="3"/>
  <c r="M13" i="3" s="1"/>
  <c r="N9" i="3"/>
  <c r="I19" i="3"/>
  <c r="K18" i="3"/>
  <c r="K19" i="3" s="1"/>
  <c r="K41" i="3" s="1"/>
  <c r="K40" i="3"/>
  <c r="K46" i="3" s="1"/>
  <c r="Q6" i="3"/>
  <c r="Q17" i="3" s="1"/>
  <c r="R3" i="3"/>
  <c r="Q10" i="3"/>
  <c r="U32" i="3"/>
  <c r="AB49" i="3"/>
  <c r="AB31" i="3"/>
  <c r="AB32" i="3" s="1"/>
  <c r="AC49" i="3"/>
  <c r="AC31" i="3"/>
  <c r="AC32" i="3" s="1"/>
  <c r="T12" i="3"/>
  <c r="AG5" i="3"/>
  <c r="P23" i="3"/>
  <c r="Q22" i="3"/>
  <c r="R27" i="3"/>
  <c r="S26" i="3"/>
  <c r="AD30" i="3"/>
  <c r="P87" i="12" l="1"/>
  <c r="P88" i="12" s="1"/>
  <c r="P94" i="12"/>
  <c r="H178" i="9"/>
  <c r="R178" i="9" s="1"/>
  <c r="R211" i="9" s="1"/>
  <c r="H140" i="9"/>
  <c r="Q84" i="12"/>
  <c r="Q94" i="12" s="1"/>
  <c r="Q80" i="12"/>
  <c r="Q86" i="12"/>
  <c r="Q102" i="12" s="1"/>
  <c r="Q79" i="12"/>
  <c r="Q85" i="12"/>
  <c r="Q98" i="12" s="1"/>
  <c r="R111" i="9"/>
  <c r="I111" i="9"/>
  <c r="I140" i="9" s="1"/>
  <c r="I72" i="9"/>
  <c r="J38" i="9"/>
  <c r="J43" i="9"/>
  <c r="T117" i="9"/>
  <c r="J184" i="9"/>
  <c r="T184" i="9" s="1"/>
  <c r="T217" i="9" s="1"/>
  <c r="T128" i="9"/>
  <c r="J195" i="9"/>
  <c r="T195" i="9" s="1"/>
  <c r="T228" i="9" s="1"/>
  <c r="S117" i="9"/>
  <c r="I184" i="9"/>
  <c r="S184" i="9" s="1"/>
  <c r="S217" i="9" s="1"/>
  <c r="P35" i="8"/>
  <c r="P37" i="8" s="1"/>
  <c r="F73" i="1" s="1"/>
  <c r="E74" i="1"/>
  <c r="N72" i="8"/>
  <c r="O72" i="8"/>
  <c r="I72" i="8"/>
  <c r="C73" i="1"/>
  <c r="C94" i="1" s="1"/>
  <c r="O38" i="8"/>
  <c r="N38" i="8"/>
  <c r="Q26" i="8"/>
  <c r="P153" i="8"/>
  <c r="P24" i="8" s="1"/>
  <c r="P27" i="8" s="1"/>
  <c r="P142" i="8"/>
  <c r="P140" i="8"/>
  <c r="O17" i="8"/>
  <c r="U8" i="3"/>
  <c r="T11" i="3"/>
  <c r="AG11" i="3" s="1"/>
  <c r="P139" i="8"/>
  <c r="P12" i="8" s="1"/>
  <c r="P145" i="8"/>
  <c r="P13" i="8" s="1"/>
  <c r="O10" i="8"/>
  <c r="Q187" i="8"/>
  <c r="Q42" i="8" s="1"/>
  <c r="Q173" i="8"/>
  <c r="Q34" i="8" s="1"/>
  <c r="Q167" i="8"/>
  <c r="Q32" i="8" s="1"/>
  <c r="Q141" i="8"/>
  <c r="P128" i="8"/>
  <c r="P9" i="8" s="1"/>
  <c r="P122" i="8"/>
  <c r="P8" i="8" s="1"/>
  <c r="K53" i="3"/>
  <c r="K54" i="3" s="1"/>
  <c r="I41" i="3"/>
  <c r="AD49" i="3"/>
  <c r="AD31" i="3"/>
  <c r="AD32" i="3" s="1"/>
  <c r="S27" i="3"/>
  <c r="S28" i="3" s="1"/>
  <c r="AE30" i="3"/>
  <c r="T26" i="3"/>
  <c r="R28" i="3"/>
  <c r="R22" i="3"/>
  <c r="Q23" i="3"/>
  <c r="Q24" i="3" s="1"/>
  <c r="S3" i="3"/>
  <c r="R6" i="3"/>
  <c r="R17" i="3" s="1"/>
  <c r="R10" i="3"/>
  <c r="R13" i="3" s="1"/>
  <c r="O9" i="3"/>
  <c r="N12" i="3"/>
  <c r="N13" i="3" s="1"/>
  <c r="P24" i="3"/>
  <c r="M40" i="3"/>
  <c r="M18" i="3"/>
  <c r="M19" i="3" s="1"/>
  <c r="M41" i="3" s="1"/>
  <c r="L46" i="3"/>
  <c r="L53" i="3" s="1"/>
  <c r="Q87" i="12" l="1"/>
  <c r="Q88" i="12" s="1"/>
  <c r="I178" i="9"/>
  <c r="S178" i="9" s="1"/>
  <c r="S211" i="9" s="1"/>
  <c r="S111" i="9"/>
  <c r="J111" i="9"/>
  <c r="J140" i="9" s="1"/>
  <c r="J72" i="9"/>
  <c r="Q35" i="8"/>
  <c r="Q37" i="8" s="1"/>
  <c r="G73" i="1" s="1"/>
  <c r="G94" i="1" s="1"/>
  <c r="F74" i="1"/>
  <c r="F94" i="1"/>
  <c r="D74" i="1"/>
  <c r="P38" i="8"/>
  <c r="P72" i="8"/>
  <c r="Q153" i="8"/>
  <c r="Q24" i="8" s="1"/>
  <c r="Q27" i="8" s="1"/>
  <c r="Q140" i="8"/>
  <c r="Q142" i="8"/>
  <c r="P16" i="8"/>
  <c r="P15" i="8"/>
  <c r="L54" i="3"/>
  <c r="V8" i="3"/>
  <c r="U11" i="3"/>
  <c r="Q139" i="8"/>
  <c r="Q12" i="8" s="1"/>
  <c r="Q145" i="8"/>
  <c r="Q13" i="8" s="1"/>
  <c r="P10" i="8"/>
  <c r="Q128" i="8"/>
  <c r="Q9" i="8" s="1"/>
  <c r="Q122" i="8"/>
  <c r="Q8" i="8" s="1"/>
  <c r="N40" i="3"/>
  <c r="N18" i="3"/>
  <c r="AE31" i="3"/>
  <c r="AE49" i="3"/>
  <c r="P9" i="3"/>
  <c r="O12" i="3"/>
  <c r="O13" i="3" s="1"/>
  <c r="R40" i="3"/>
  <c r="R18" i="3"/>
  <c r="R19" i="3" s="1"/>
  <c r="R41" i="3" s="1"/>
  <c r="T3" i="3"/>
  <c r="S6" i="3"/>
  <c r="S17" i="3" s="1"/>
  <c r="V5" i="3"/>
  <c r="S10" i="3"/>
  <c r="S13" i="3" s="1"/>
  <c r="R23" i="3"/>
  <c r="R24" i="3" s="1"/>
  <c r="S22" i="3"/>
  <c r="AG27" i="3"/>
  <c r="M46" i="3"/>
  <c r="M53" i="3" s="1"/>
  <c r="T27" i="3"/>
  <c r="T28" i="3" s="1"/>
  <c r="AG28" i="3" s="1"/>
  <c r="AF30" i="3"/>
  <c r="AG26" i="3"/>
  <c r="U26" i="3"/>
  <c r="J178" i="9" l="1"/>
  <c r="T178" i="9" s="1"/>
  <c r="T211" i="9" s="1"/>
  <c r="T111" i="9"/>
  <c r="M54" i="3"/>
  <c r="G74" i="1"/>
  <c r="Q38" i="8"/>
  <c r="Q72" i="8"/>
  <c r="P17" i="8"/>
  <c r="V11" i="3"/>
  <c r="W8" i="3"/>
  <c r="Q16" i="8"/>
  <c r="Q15" i="8"/>
  <c r="Q10" i="8"/>
  <c r="AG3" i="3"/>
  <c r="AG6" i="3" s="1"/>
  <c r="U3" i="3"/>
  <c r="T6" i="3"/>
  <c r="T17" i="3" s="1"/>
  <c r="AG17" i="3" s="1"/>
  <c r="T10" i="3"/>
  <c r="T13" i="3" s="1"/>
  <c r="O18" i="3"/>
  <c r="O19" i="3" s="1"/>
  <c r="O41" i="3" s="1"/>
  <c r="O40" i="3"/>
  <c r="Q9" i="3"/>
  <c r="Q12" i="3" s="1"/>
  <c r="Q13" i="3" s="1"/>
  <c r="P12" i="3"/>
  <c r="P13" i="3" s="1"/>
  <c r="S23" i="3"/>
  <c r="T22" i="3"/>
  <c r="AE32" i="3"/>
  <c r="V26" i="3"/>
  <c r="U27" i="3"/>
  <c r="N19" i="3"/>
  <c r="N46" i="3"/>
  <c r="N53" i="3" s="1"/>
  <c r="N54" i="3" s="1"/>
  <c r="AF31" i="3"/>
  <c r="AF32" i="3" s="1"/>
  <c r="AH30" i="3"/>
  <c r="AF49" i="3"/>
  <c r="AH49" i="3" s="1"/>
  <c r="S18" i="3"/>
  <c r="S19" i="3" s="1"/>
  <c r="V48" i="3"/>
  <c r="W5" i="3"/>
  <c r="V12" i="3"/>
  <c r="W11" i="3" l="1"/>
  <c r="X8" i="3"/>
  <c r="Q17" i="8"/>
  <c r="AG22" i="3"/>
  <c r="U22" i="3"/>
  <c r="T23" i="3"/>
  <c r="T24" i="3" s="1"/>
  <c r="S24" i="3"/>
  <c r="AG24" i="3" s="1"/>
  <c r="P18" i="3"/>
  <c r="P40" i="3"/>
  <c r="Q18" i="3"/>
  <c r="Q19" i="3" s="1"/>
  <c r="Q41" i="3" s="1"/>
  <c r="Q40" i="3"/>
  <c r="O46" i="3"/>
  <c r="O53" i="3" s="1"/>
  <c r="O54" i="3" s="1"/>
  <c r="N41" i="3"/>
  <c r="X5" i="3"/>
  <c r="W48" i="3"/>
  <c r="W12" i="3"/>
  <c r="U28" i="3"/>
  <c r="T18" i="3"/>
  <c r="T40" i="3"/>
  <c r="W26" i="3"/>
  <c r="V27" i="3"/>
  <c r="V28" i="3" s="1"/>
  <c r="S40" i="3"/>
  <c r="AH31" i="3"/>
  <c r="U10" i="3"/>
  <c r="U13" i="3" s="1"/>
  <c r="U6" i="3"/>
  <c r="U17" i="3" s="1"/>
  <c r="V3" i="3"/>
  <c r="U47" i="3"/>
  <c r="AH32" i="3"/>
  <c r="S41" i="3" l="1"/>
  <c r="T19" i="3"/>
  <c r="T41" i="3" s="1"/>
  <c r="AG18" i="3"/>
  <c r="X11" i="3"/>
  <c r="Y8" i="3"/>
  <c r="AG40" i="3"/>
  <c r="W3" i="3"/>
  <c r="V47" i="3"/>
  <c r="V10" i="3"/>
  <c r="V13" i="3" s="1"/>
  <c r="V6" i="3"/>
  <c r="V17" i="3" s="1"/>
  <c r="P46" i="3"/>
  <c r="P53" i="3" s="1"/>
  <c r="P54" i="3" s="1"/>
  <c r="P19" i="3"/>
  <c r="U18" i="3"/>
  <c r="X48" i="3"/>
  <c r="Y5" i="3"/>
  <c r="X12" i="3"/>
  <c r="U23" i="3"/>
  <c r="V22" i="3"/>
  <c r="W27" i="3"/>
  <c r="X26" i="3"/>
  <c r="Y11" i="3" l="1"/>
  <c r="Z8" i="3"/>
  <c r="AG13" i="3"/>
  <c r="X27" i="3"/>
  <c r="X28" i="3" s="1"/>
  <c r="Y26" i="3"/>
  <c r="W28" i="3"/>
  <c r="P41" i="3"/>
  <c r="AG19" i="3"/>
  <c r="AG41" i="3" s="1"/>
  <c r="V23" i="3"/>
  <c r="V24" i="3" s="1"/>
  <c r="W22" i="3"/>
  <c r="U24" i="3"/>
  <c r="V40" i="3"/>
  <c r="V18" i="3"/>
  <c r="V19" i="3" s="1"/>
  <c r="W10" i="3"/>
  <c r="W13" i="3" s="1"/>
  <c r="W47" i="3"/>
  <c r="X3" i="3"/>
  <c r="W6" i="3"/>
  <c r="W17" i="3" s="1"/>
  <c r="Y48" i="3"/>
  <c r="Z5" i="3"/>
  <c r="Y12" i="3"/>
  <c r="Q46" i="3"/>
  <c r="Q53" i="3" s="1"/>
  <c r="Q54" i="3" s="1"/>
  <c r="U19" i="3"/>
  <c r="U40" i="3"/>
  <c r="AA8" i="3" l="1"/>
  <c r="Z11" i="3"/>
  <c r="Z48" i="3"/>
  <c r="AA5" i="3"/>
  <c r="Z12" i="3"/>
  <c r="X22" i="3"/>
  <c r="W23" i="3"/>
  <c r="X10" i="3"/>
  <c r="X13" i="3" s="1"/>
  <c r="X47" i="3"/>
  <c r="X6" i="3"/>
  <c r="X17" i="3" s="1"/>
  <c r="Y3" i="3"/>
  <c r="W18" i="3"/>
  <c r="R46" i="3"/>
  <c r="R53" i="3" s="1"/>
  <c r="R54" i="3" s="1"/>
  <c r="Y27" i="3"/>
  <c r="Z26" i="3"/>
  <c r="S46" i="3"/>
  <c r="S53" i="3" s="1"/>
  <c r="S54" i="3" s="1"/>
  <c r="U41" i="3"/>
  <c r="V41" i="3"/>
  <c r="AB8" i="3" l="1"/>
  <c r="AA11" i="3"/>
  <c r="Y10" i="3"/>
  <c r="Y13" i="3" s="1"/>
  <c r="Y47" i="3"/>
  <c r="Y6" i="3"/>
  <c r="Y17" i="3" s="1"/>
  <c r="Z3" i="3"/>
  <c r="AI30" i="3"/>
  <c r="AI31" i="3" s="1"/>
  <c r="AI32" i="3" s="1"/>
  <c r="AA26" i="3"/>
  <c r="Z27" i="3"/>
  <c r="Z28" i="3" s="1"/>
  <c r="X18" i="3"/>
  <c r="X19" i="3" s="1"/>
  <c r="X41" i="3" s="1"/>
  <c r="X40" i="3"/>
  <c r="Y28" i="3"/>
  <c r="W24" i="3"/>
  <c r="T46" i="3"/>
  <c r="U46" i="3" s="1"/>
  <c r="U53" i="3" s="1"/>
  <c r="Y22" i="3"/>
  <c r="X23" i="3"/>
  <c r="X24" i="3" s="1"/>
  <c r="W19" i="3"/>
  <c r="AA12" i="3"/>
  <c r="AB5" i="3"/>
  <c r="AA48" i="3"/>
  <c r="W40" i="3"/>
  <c r="AC8" i="3" l="1"/>
  <c r="AB11" i="3"/>
  <c r="AB48" i="3"/>
  <c r="AB12" i="3"/>
  <c r="AC5" i="3"/>
  <c r="W41" i="3"/>
  <c r="AB26" i="3"/>
  <c r="AA27" i="3"/>
  <c r="Z22" i="3"/>
  <c r="Y23" i="3"/>
  <c r="Y24" i="3" s="1"/>
  <c r="Z10" i="3"/>
  <c r="Z13" i="3" s="1"/>
  <c r="Z47" i="3"/>
  <c r="AA3" i="3"/>
  <c r="Z6" i="3"/>
  <c r="Z17" i="3" s="1"/>
  <c r="T53" i="3"/>
  <c r="T54" i="3" s="1"/>
  <c r="U54" i="3" s="1"/>
  <c r="AG46" i="3"/>
  <c r="V46" i="3"/>
  <c r="V53" i="3" s="1"/>
  <c r="Y40" i="3"/>
  <c r="Y18" i="3"/>
  <c r="Y19" i="3" s="1"/>
  <c r="Y41" i="3" l="1"/>
  <c r="AC11" i="3"/>
  <c r="AD8" i="3"/>
  <c r="AA28" i="3"/>
  <c r="AC26" i="3"/>
  <c r="AB27" i="3"/>
  <c r="AB28" i="3" s="1"/>
  <c r="V54" i="3"/>
  <c r="AG53" i="3"/>
  <c r="AC12" i="3"/>
  <c r="AD5" i="3"/>
  <c r="AC48" i="3"/>
  <c r="AA47" i="3"/>
  <c r="AA10" i="3"/>
  <c r="AA13" i="3" s="1"/>
  <c r="AB3" i="3"/>
  <c r="AA6" i="3"/>
  <c r="AA17" i="3" s="1"/>
  <c r="Z18" i="3"/>
  <c r="W46" i="3"/>
  <c r="W53" i="3" s="1"/>
  <c r="AA22" i="3"/>
  <c r="Z23" i="3"/>
  <c r="X46" i="3" l="1"/>
  <c r="X53" i="3" s="1"/>
  <c r="I181" i="8"/>
  <c r="I40" i="8" s="1"/>
  <c r="W54" i="3"/>
  <c r="AD11" i="3"/>
  <c r="AE8" i="3"/>
  <c r="AD12" i="3"/>
  <c r="AD48" i="3"/>
  <c r="AE5" i="3"/>
  <c r="Z24" i="3"/>
  <c r="AB22" i="3"/>
  <c r="AA23" i="3"/>
  <c r="AA24" i="3" s="1"/>
  <c r="Z40" i="3"/>
  <c r="AD26" i="3"/>
  <c r="AC27" i="3"/>
  <c r="AC28" i="3" s="1"/>
  <c r="AB10" i="3"/>
  <c r="AB13" i="3" s="1"/>
  <c r="AB47" i="3"/>
  <c r="AB6" i="3"/>
  <c r="AB17" i="3" s="1"/>
  <c r="AC3" i="3"/>
  <c r="AA18" i="3"/>
  <c r="AA19" i="3" s="1"/>
  <c r="AA40" i="3"/>
  <c r="Z19" i="3"/>
  <c r="Y46" i="3" l="1"/>
  <c r="Y53" i="3" s="1"/>
  <c r="X54" i="3"/>
  <c r="I43" i="8"/>
  <c r="I45" i="8" s="1"/>
  <c r="Z46" i="3"/>
  <c r="Z53" i="3" s="1"/>
  <c r="AF8" i="3"/>
  <c r="AE11" i="3"/>
  <c r="Y54" i="3"/>
  <c r="AB18" i="3"/>
  <c r="Z41" i="3"/>
  <c r="AD27" i="3"/>
  <c r="AD28" i="3" s="1"/>
  <c r="AE26" i="3"/>
  <c r="AA41" i="3"/>
  <c r="AB23" i="3"/>
  <c r="AB24" i="3" s="1"/>
  <c r="AC22" i="3"/>
  <c r="AC6" i="3"/>
  <c r="AC17" i="3" s="1"/>
  <c r="AD3" i="3"/>
  <c r="AC10" i="3"/>
  <c r="AC13" i="3" s="1"/>
  <c r="AC47" i="3"/>
  <c r="AE12" i="3"/>
  <c r="AF5" i="3"/>
  <c r="AE48" i="3"/>
  <c r="C76" i="1" l="1"/>
  <c r="C95" i="1" s="1"/>
  <c r="I73" i="8"/>
  <c r="I74" i="8" s="1"/>
  <c r="I76" i="8" s="1"/>
  <c r="Z54" i="3"/>
  <c r="AA46" i="3"/>
  <c r="AA53" i="3" s="1"/>
  <c r="AA54" i="3" s="1"/>
  <c r="AF11" i="3"/>
  <c r="AH11" i="3" s="1"/>
  <c r="AI11" i="3" s="1"/>
  <c r="AJ11" i="3" s="1"/>
  <c r="AH8" i="3"/>
  <c r="AC23" i="3"/>
  <c r="AC24" i="3" s="1"/>
  <c r="AD22" i="3"/>
  <c r="AE27" i="3"/>
  <c r="AE28" i="3" s="1"/>
  <c r="AF26" i="3"/>
  <c r="AF12" i="3"/>
  <c r="AH5" i="3"/>
  <c r="AF48" i="3"/>
  <c r="AH48" i="3" s="1"/>
  <c r="AC18" i="3"/>
  <c r="AC19" i="3" s="1"/>
  <c r="AC40" i="3"/>
  <c r="AB40" i="3"/>
  <c r="AD47" i="3"/>
  <c r="AE3" i="3"/>
  <c r="AD6" i="3"/>
  <c r="AD17" i="3" s="1"/>
  <c r="AD10" i="3"/>
  <c r="AD13" i="3" s="1"/>
  <c r="AB19" i="3"/>
  <c r="AC41" i="3" l="1"/>
  <c r="AB46" i="3"/>
  <c r="AB53" i="3" s="1"/>
  <c r="AB54" i="3" s="1"/>
  <c r="AH26" i="3"/>
  <c r="AF27" i="3"/>
  <c r="AB41" i="3"/>
  <c r="AD18" i="3"/>
  <c r="AD19" i="3" s="1"/>
  <c r="AD40" i="3"/>
  <c r="AE47" i="3"/>
  <c r="AF3" i="3"/>
  <c r="AE6" i="3"/>
  <c r="AE17" i="3" s="1"/>
  <c r="AE10" i="3"/>
  <c r="AE13" i="3" s="1"/>
  <c r="AD23" i="3"/>
  <c r="AD24" i="3" s="1"/>
  <c r="AE22" i="3"/>
  <c r="AD41" i="3" l="1"/>
  <c r="AC46" i="3"/>
  <c r="AC53" i="3" s="1"/>
  <c r="AC54" i="3" s="1"/>
  <c r="AE18" i="3"/>
  <c r="AE19" i="3" s="1"/>
  <c r="AH3" i="3"/>
  <c r="AH6" i="3" s="1"/>
  <c r="AF6" i="3"/>
  <c r="AF17" i="3" s="1"/>
  <c r="AH17" i="3" s="1"/>
  <c r="AF47" i="3"/>
  <c r="AH47" i="3" s="1"/>
  <c r="AF10" i="3"/>
  <c r="AF13" i="3" s="1"/>
  <c r="AF28" i="3"/>
  <c r="AH28" i="3" s="1"/>
  <c r="AH27" i="3"/>
  <c r="AE23" i="3"/>
  <c r="AE24" i="3" s="1"/>
  <c r="AF22" i="3"/>
  <c r="AD46" i="3" l="1"/>
  <c r="AD53" i="3" s="1"/>
  <c r="AD54" i="3" s="1"/>
  <c r="AF23" i="3"/>
  <c r="AH22" i="3"/>
  <c r="AI22" i="3" s="1"/>
  <c r="AJ22" i="3" s="1"/>
  <c r="AF18" i="3"/>
  <c r="AF40" i="3"/>
  <c r="AE40" i="3"/>
  <c r="AE41" i="3"/>
  <c r="AE46" i="3" l="1"/>
  <c r="AE53" i="3"/>
  <c r="AE54" i="3" s="1"/>
  <c r="AH40" i="3"/>
  <c r="AF46" i="3"/>
  <c r="AF53" i="3" s="1"/>
  <c r="AF54" i="3" s="1"/>
  <c r="AF19" i="3"/>
  <c r="AH18" i="3"/>
  <c r="AH13" i="3" s="1"/>
  <c r="AF24" i="3"/>
  <c r="AH24" i="3" s="1"/>
  <c r="AH23" i="3"/>
  <c r="AF41" i="3" l="1"/>
  <c r="AH19" i="3"/>
  <c r="AH41" i="3" s="1"/>
  <c r="AH46" i="3"/>
  <c r="AH53" i="3" s="1"/>
  <c r="N181" i="8" l="1"/>
  <c r="N40" i="8" s="1"/>
  <c r="N5" i="8"/>
  <c r="O5" i="8" s="1"/>
  <c r="P5" i="8" s="1"/>
  <c r="Q5" i="8" s="1"/>
  <c r="N43" i="8" l="1"/>
  <c r="N45" i="8" s="1"/>
  <c r="O181" i="8"/>
  <c r="O40" i="8" s="1"/>
  <c r="O184" i="8"/>
  <c r="D37" i="6"/>
  <c r="D25" i="6"/>
  <c r="D32" i="6" s="1"/>
  <c r="D39" i="6" s="1"/>
  <c r="D14" i="6"/>
  <c r="D19" i="6" s="1"/>
  <c r="C35" i="2"/>
  <c r="C38" i="2" s="1"/>
  <c r="C28" i="2"/>
  <c r="C17" i="2"/>
  <c r="D76" i="1" l="1"/>
  <c r="N73" i="8"/>
  <c r="O43" i="8"/>
  <c r="O45" i="8" s="1"/>
  <c r="P181" i="8"/>
  <c r="P40" i="8" s="1"/>
  <c r="P184" i="8"/>
  <c r="D95" i="1" l="1"/>
  <c r="E76" i="1"/>
  <c r="E95" i="1" s="1"/>
  <c r="N74" i="8"/>
  <c r="O73" i="8"/>
  <c r="O74" i="8" s="1"/>
  <c r="O46" i="8"/>
  <c r="P43" i="8"/>
  <c r="P45" i="8" s="1"/>
  <c r="Q181" i="8"/>
  <c r="Q40" i="8" s="1"/>
  <c r="Q184" i="8"/>
  <c r="E77" i="1" l="1"/>
  <c r="F76" i="1"/>
  <c r="F95" i="1" s="1"/>
  <c r="O75" i="8"/>
  <c r="O76" i="8"/>
  <c r="N75" i="8"/>
  <c r="N76" i="8"/>
  <c r="P73" i="8"/>
  <c r="P74" i="8" s="1"/>
  <c r="P46" i="8"/>
  <c r="Q43" i="8"/>
  <c r="Q45" i="8" s="1"/>
  <c r="F77" i="1" l="1"/>
  <c r="G76" i="1"/>
  <c r="Q73" i="8"/>
  <c r="Q74" i="8" s="1"/>
  <c r="P75" i="8"/>
  <c r="P76" i="8"/>
  <c r="Q46" i="8"/>
  <c r="G95" i="1" l="1"/>
  <c r="G77" i="1"/>
  <c r="Q76" i="8"/>
  <c r="Q75" i="8"/>
  <c r="E5" i="1" l="1"/>
  <c r="F5" i="1" s="1"/>
  <c r="G5" i="1" s="1"/>
  <c r="H5" i="1" s="1"/>
  <c r="I5" i="1" s="1"/>
  <c r="J5" i="1" s="1"/>
  <c r="K5" i="1" s="1"/>
  <c r="L5" i="1" s="1"/>
  <c r="M5" i="1" s="1"/>
  <c r="N5" i="1" s="1"/>
  <c r="D57" i="1"/>
  <c r="E57" i="1" s="1"/>
  <c r="F57" i="1" s="1"/>
  <c r="G57" i="1" s="1"/>
  <c r="H57" i="1" s="1"/>
  <c r="I57" i="1" s="1"/>
  <c r="J57" i="1" s="1"/>
  <c r="K57" i="1" s="1"/>
  <c r="L57" i="1" s="1"/>
  <c r="M57" i="1" s="1"/>
  <c r="N57" i="1" s="1"/>
  <c r="H80" i="1" l="1"/>
  <c r="H74" i="1"/>
  <c r="H77" i="1"/>
  <c r="D43" i="1"/>
  <c r="D17" i="1"/>
  <c r="E17" i="1" s="1"/>
  <c r="F17" i="1" s="1"/>
  <c r="G17" i="1" s="1"/>
  <c r="H17" i="1" s="1"/>
  <c r="I17" i="1" s="1"/>
  <c r="J17" i="1" s="1"/>
  <c r="K17" i="1" s="1"/>
  <c r="L17" i="1" s="1"/>
  <c r="M17" i="1" s="1"/>
  <c r="N17" i="1" s="1"/>
  <c r="I77" i="1" l="1"/>
  <c r="J77" i="1" s="1"/>
  <c r="K77" i="1" s="1"/>
  <c r="L77" i="1" s="1"/>
  <c r="M77" i="1" s="1"/>
  <c r="N77" i="1" s="1"/>
  <c r="H76" i="1"/>
  <c r="I74" i="1"/>
  <c r="J74" i="1" s="1"/>
  <c r="K74" i="1" s="1"/>
  <c r="L74" i="1" s="1"/>
  <c r="M74" i="1" s="1"/>
  <c r="N74" i="1" s="1"/>
  <c r="H73" i="1"/>
  <c r="I80" i="1"/>
  <c r="J80" i="1" s="1"/>
  <c r="K80" i="1" s="1"/>
  <c r="L80" i="1" s="1"/>
  <c r="M80" i="1" s="1"/>
  <c r="N80" i="1" s="1"/>
  <c r="H79" i="1"/>
  <c r="E43" i="1"/>
  <c r="H95" i="1" l="1"/>
  <c r="I76" i="1"/>
  <c r="I79" i="1"/>
  <c r="H96" i="1"/>
  <c r="I73" i="1"/>
  <c r="H94" i="1"/>
  <c r="F43" i="1"/>
  <c r="J79" i="1" l="1"/>
  <c r="I96" i="1"/>
  <c r="I95" i="1"/>
  <c r="J76" i="1"/>
  <c r="I94" i="1"/>
  <c r="J73" i="1"/>
  <c r="G43" i="1"/>
  <c r="J95" i="1" l="1"/>
  <c r="K76" i="1"/>
  <c r="K73" i="1"/>
  <c r="J94" i="1"/>
  <c r="K79" i="1"/>
  <c r="J96" i="1"/>
  <c r="H43" i="1"/>
  <c r="L79" i="1" l="1"/>
  <c r="K96" i="1"/>
  <c r="L73" i="1"/>
  <c r="K94" i="1"/>
  <c r="K95" i="1"/>
  <c r="L76" i="1"/>
  <c r="I43" i="1"/>
  <c r="L95" i="1" l="1"/>
  <c r="M76" i="1"/>
  <c r="L94" i="1"/>
  <c r="M73" i="1"/>
  <c r="M79" i="1"/>
  <c r="L96" i="1"/>
  <c r="J43" i="1"/>
  <c r="N79" i="1" l="1"/>
  <c r="N96" i="1" s="1"/>
  <c r="M96" i="1"/>
  <c r="M95" i="1"/>
  <c r="N76" i="1"/>
  <c r="N95" i="1" s="1"/>
  <c r="M94" i="1"/>
  <c r="N73" i="1"/>
  <c r="N94" i="1" s="1"/>
  <c r="K43" i="1"/>
  <c r="L43" i="1" l="1"/>
  <c r="M43" i="1" l="1"/>
  <c r="N43" i="1" l="1"/>
  <c r="I141" i="8" l="1"/>
  <c r="I139" i="8" s="1"/>
  <c r="I140" i="8" l="1"/>
  <c r="I12" i="8"/>
  <c r="I17" i="8" s="1"/>
  <c r="I20" i="8"/>
  <c r="N107" i="8"/>
  <c r="N108" i="8" s="1"/>
  <c r="N28" i="8"/>
  <c r="N29" i="8" s="1"/>
  <c r="E107" i="8"/>
  <c r="J107" i="8" s="1"/>
  <c r="I108" i="8"/>
  <c r="I28" i="8" s="1"/>
  <c r="I29" i="8" s="1"/>
  <c r="I61" i="8" s="1"/>
  <c r="J108" i="8" l="1"/>
  <c r="J28" i="8" s="1"/>
  <c r="J29" i="8" s="1"/>
  <c r="J20" i="8"/>
  <c r="E108" i="8"/>
  <c r="F107" i="8"/>
  <c r="N61" i="8"/>
  <c r="N20" i="8"/>
  <c r="C70" i="1"/>
  <c r="C93" i="1" s="1"/>
  <c r="E28" i="8"/>
  <c r="E29" i="8" s="1"/>
  <c r="F108" i="8"/>
  <c r="E20" i="8"/>
  <c r="D70" i="1"/>
  <c r="N30" i="8"/>
  <c r="O107" i="8"/>
  <c r="J30" i="8" l="1"/>
  <c r="F20" i="8"/>
  <c r="G107" i="8"/>
  <c r="K107" i="8"/>
  <c r="O20" i="8"/>
  <c r="P107" i="8"/>
  <c r="O108" i="8"/>
  <c r="O28" i="8" s="1"/>
  <c r="O29" i="8" s="1"/>
  <c r="D71" i="1"/>
  <c r="D93" i="1"/>
  <c r="F28" i="8"/>
  <c r="F29" i="8" s="1"/>
  <c r="G108" i="8"/>
  <c r="K108" i="8" l="1"/>
  <c r="K28" i="8" s="1"/>
  <c r="K29" i="8" s="1"/>
  <c r="K30" i="8" s="1"/>
  <c r="K20" i="8"/>
  <c r="G20" i="8"/>
  <c r="H107" i="8"/>
  <c r="L107" i="8"/>
  <c r="G28" i="8"/>
  <c r="G29" i="8" s="1"/>
  <c r="H108" i="8"/>
  <c r="H28" i="8" s="1"/>
  <c r="H29" i="8" s="1"/>
  <c r="E70" i="1"/>
  <c r="O61" i="8"/>
  <c r="O30" i="8"/>
  <c r="P108" i="8"/>
  <c r="P28" i="8" s="1"/>
  <c r="P29" i="8" s="1"/>
  <c r="Q107" i="8"/>
  <c r="P20" i="8"/>
  <c r="L108" i="8" l="1"/>
  <c r="L28" i="8" s="1"/>
  <c r="L29" i="8" s="1"/>
  <c r="L30" i="8" s="1"/>
  <c r="L20" i="8"/>
  <c r="M107" i="8"/>
  <c r="H20" i="8"/>
  <c r="Q20" i="8"/>
  <c r="Q108" i="8"/>
  <c r="Q28" i="8" s="1"/>
  <c r="Q29" i="8" s="1"/>
  <c r="P61" i="8"/>
  <c r="P30" i="8"/>
  <c r="F70" i="1"/>
  <c r="E71" i="1"/>
  <c r="E93" i="1"/>
  <c r="M108" i="8" l="1"/>
  <c r="M28" i="8" s="1"/>
  <c r="M29" i="8" s="1"/>
  <c r="M20" i="8"/>
  <c r="F71" i="1"/>
  <c r="F93" i="1"/>
  <c r="G70" i="1"/>
  <c r="Q30" i="8"/>
  <c r="Q61" i="8"/>
  <c r="M30" i="8" l="1"/>
  <c r="G93" i="1"/>
  <c r="G71" i="1"/>
  <c r="H71" i="1" s="1"/>
  <c r="I71" i="1" s="1"/>
  <c r="J71" i="1" s="1"/>
  <c r="K71" i="1" s="1"/>
  <c r="L71" i="1" s="1"/>
  <c r="M71" i="1" s="1"/>
  <c r="N71" i="1" s="1"/>
  <c r="H70" i="1" l="1"/>
  <c r="I70" i="1" s="1"/>
  <c r="H93" i="1" l="1"/>
  <c r="I93" i="1"/>
  <c r="J70" i="1"/>
  <c r="J93" i="1" l="1"/>
  <c r="K70" i="1"/>
  <c r="K93" i="1" l="1"/>
  <c r="L70" i="1"/>
  <c r="M70" i="1" l="1"/>
  <c r="L93" i="1"/>
  <c r="M93" i="1" l="1"/>
  <c r="N70" i="1"/>
  <c r="N93" i="1" l="1"/>
  <c r="L115" i="8" l="1"/>
  <c r="O114" i="8"/>
  <c r="O19" i="8" s="1"/>
  <c r="O21" i="8" s="1"/>
  <c r="Q114" i="8"/>
  <c r="Q19" i="8" s="1"/>
  <c r="Q21" i="8" s="1"/>
  <c r="P114" i="8"/>
  <c r="P19" i="8" s="1"/>
  <c r="P21" i="8" s="1"/>
  <c r="F67" i="1" s="1"/>
  <c r="E115" i="8"/>
  <c r="G115" i="8"/>
  <c r="P48" i="8" l="1"/>
  <c r="P90" i="8" s="1"/>
  <c r="P62" i="8"/>
  <c r="P63" i="8" s="1"/>
  <c r="F82" i="1"/>
  <c r="F19" i="1" s="1"/>
  <c r="F30" i="1" s="1"/>
  <c r="F92" i="1"/>
  <c r="F97" i="1" s="1"/>
  <c r="F22" i="1" s="1"/>
  <c r="O62" i="8"/>
  <c r="O48" i="8"/>
  <c r="E67" i="1"/>
  <c r="P22" i="8"/>
  <c r="G67" i="1"/>
  <c r="Q48" i="8"/>
  <c r="Q62" i="8"/>
  <c r="Q22" i="8"/>
  <c r="M115" i="8"/>
  <c r="H115" i="8"/>
  <c r="F115" i="8"/>
  <c r="J115" i="8"/>
  <c r="K115" i="8"/>
  <c r="F50" i="1" l="1"/>
  <c r="F26" i="1"/>
  <c r="F36" i="1"/>
  <c r="E25" i="15" s="1"/>
  <c r="F23" i="1"/>
  <c r="E11" i="15"/>
  <c r="E14" i="15"/>
  <c r="E5" i="15"/>
  <c r="P49" i="8"/>
  <c r="F48" i="1"/>
  <c r="F98" i="1"/>
  <c r="P65" i="8"/>
  <c r="P78" i="8"/>
  <c r="P92" i="8"/>
  <c r="P100" i="8"/>
  <c r="P96" i="8"/>
  <c r="Q90" i="8"/>
  <c r="Q49" i="8"/>
  <c r="G82" i="1"/>
  <c r="G92" i="1"/>
  <c r="G97" i="1" s="1"/>
  <c r="G68" i="1"/>
  <c r="H68" i="1" s="1"/>
  <c r="I68" i="1" s="1"/>
  <c r="J68" i="1" s="1"/>
  <c r="K68" i="1" s="1"/>
  <c r="L68" i="1" s="1"/>
  <c r="M68" i="1" s="1"/>
  <c r="N68" i="1" s="1"/>
  <c r="E82" i="1"/>
  <c r="E92" i="1"/>
  <c r="E97" i="1" s="1"/>
  <c r="F68" i="1"/>
  <c r="O90" i="8"/>
  <c r="Q63" i="8"/>
  <c r="Q65" i="8" s="1"/>
  <c r="O63" i="8"/>
  <c r="F51" i="1" l="1"/>
  <c r="E26" i="15"/>
  <c r="F33" i="1"/>
  <c r="F9" i="1" s="1"/>
  <c r="E11" i="1" s="1"/>
  <c r="E12" i="1" s="1"/>
  <c r="E13" i="1" s="1"/>
  <c r="E18" i="15"/>
  <c r="E19" i="15" s="1"/>
  <c r="E15" i="15"/>
  <c r="E12" i="15"/>
  <c r="P85" i="8"/>
  <c r="P98" i="8" s="1"/>
  <c r="P86" i="8"/>
  <c r="P102" i="8" s="1"/>
  <c r="P80" i="8"/>
  <c r="P84" i="8"/>
  <c r="Q78" i="8"/>
  <c r="Q64" i="8"/>
  <c r="O92" i="8"/>
  <c r="O96" i="8"/>
  <c r="O100" i="8"/>
  <c r="E22" i="1"/>
  <c r="D11" i="15" s="1"/>
  <c r="E98" i="1"/>
  <c r="E19" i="1"/>
  <c r="E30" i="1" s="1"/>
  <c r="F83" i="1"/>
  <c r="H67" i="1"/>
  <c r="G98" i="1"/>
  <c r="G22" i="1"/>
  <c r="F11" i="15" s="1"/>
  <c r="O78" i="8"/>
  <c r="P64" i="8"/>
  <c r="G19" i="1"/>
  <c r="G83" i="1"/>
  <c r="O65" i="8"/>
  <c r="Q96" i="8"/>
  <c r="Q92" i="8"/>
  <c r="Q100" i="8"/>
  <c r="F5" i="15" l="1"/>
  <c r="F6" i="15" s="1"/>
  <c r="G30" i="1"/>
  <c r="D5" i="15"/>
  <c r="D12" i="15" s="1"/>
  <c r="E26" i="1"/>
  <c r="F39" i="1"/>
  <c r="F40" i="1" s="1"/>
  <c r="F34" i="1"/>
  <c r="F42" i="1"/>
  <c r="F45" i="1" s="1"/>
  <c r="F53" i="1" s="1"/>
  <c r="F58" i="1" s="1"/>
  <c r="E22" i="15"/>
  <c r="E28" i="15" s="1"/>
  <c r="E29" i="15" s="1"/>
  <c r="P87" i="8"/>
  <c r="P94" i="8"/>
  <c r="E23" i="1"/>
  <c r="G50" i="1"/>
  <c r="G36" i="1"/>
  <c r="G48" i="1"/>
  <c r="F18" i="15"/>
  <c r="G20" i="1"/>
  <c r="O84" i="8"/>
  <c r="O94" i="8" s="1"/>
  <c r="O85" i="8"/>
  <c r="O98" i="8" s="1"/>
  <c r="O86" i="8"/>
  <c r="O102" i="8" s="1"/>
  <c r="P79" i="8"/>
  <c r="O80" i="8"/>
  <c r="G23" i="1"/>
  <c r="H92" i="1"/>
  <c r="H97" i="1" s="1"/>
  <c r="H82" i="1"/>
  <c r="I67" i="1"/>
  <c r="E48" i="1"/>
  <c r="E36" i="1"/>
  <c r="D18" i="15"/>
  <c r="E50" i="1"/>
  <c r="F20" i="1"/>
  <c r="E14" i="1"/>
  <c r="E15" i="1"/>
  <c r="Q86" i="8"/>
  <c r="Q102" i="8" s="1"/>
  <c r="Q84" i="8"/>
  <c r="Q85" i="8"/>
  <c r="Q98" i="8" s="1"/>
  <c r="Q79" i="8"/>
  <c r="Q80" i="8"/>
  <c r="F12" i="15" l="1"/>
  <c r="F19" i="15"/>
  <c r="E6" i="15"/>
  <c r="D19" i="15"/>
  <c r="F46" i="1"/>
  <c r="D14" i="15"/>
  <c r="D15" i="15" s="1"/>
  <c r="G51" i="1"/>
  <c r="F25" i="15"/>
  <c r="F26" i="15" s="1"/>
  <c r="E51" i="1"/>
  <c r="D25" i="15"/>
  <c r="D26" i="15" s="1"/>
  <c r="E33" i="1"/>
  <c r="E42" i="1" s="1"/>
  <c r="E45" i="1" s="1"/>
  <c r="O87" i="8"/>
  <c r="P88" i="8" s="1"/>
  <c r="Q87" i="8"/>
  <c r="Q88" i="8" s="1"/>
  <c r="Q94" i="8"/>
  <c r="I92" i="1"/>
  <c r="I97" i="1" s="1"/>
  <c r="J67" i="1"/>
  <c r="I82" i="1"/>
  <c r="H83" i="1"/>
  <c r="H19" i="1"/>
  <c r="H98" i="1"/>
  <c r="H22" i="1"/>
  <c r="H26" i="1" l="1"/>
  <c r="H30" i="1"/>
  <c r="D22" i="15"/>
  <c r="D28" i="15" s="1"/>
  <c r="D29" i="15" s="1"/>
  <c r="E39" i="1"/>
  <c r="E40" i="1" s="1"/>
  <c r="E9" i="1"/>
  <c r="D11" i="1" s="1"/>
  <c r="D12" i="1" s="1"/>
  <c r="D13" i="1" s="1"/>
  <c r="D15" i="1" s="1"/>
  <c r="H23" i="1"/>
  <c r="E34" i="1"/>
  <c r="I19" i="1"/>
  <c r="I83" i="1"/>
  <c r="J92" i="1"/>
  <c r="J97" i="1" s="1"/>
  <c r="J82" i="1"/>
  <c r="K67" i="1"/>
  <c r="I22" i="1"/>
  <c r="I98" i="1"/>
  <c r="E46" i="1"/>
  <c r="E53" i="1"/>
  <c r="E58" i="1" s="1"/>
  <c r="H50" i="1"/>
  <c r="H20" i="1"/>
  <c r="H48" i="1"/>
  <c r="H36" i="1"/>
  <c r="H51" i="1" s="1"/>
  <c r="I26" i="1" l="1"/>
  <c r="I30" i="1"/>
  <c r="D14" i="1"/>
  <c r="H33" i="1"/>
  <c r="H42" i="1" s="1"/>
  <c r="H45" i="1" s="1"/>
  <c r="I23" i="1"/>
  <c r="K92" i="1"/>
  <c r="K97" i="1" s="1"/>
  <c r="L67" i="1"/>
  <c r="K82" i="1"/>
  <c r="J83" i="1"/>
  <c r="J19" i="1"/>
  <c r="J22" i="1"/>
  <c r="J98" i="1"/>
  <c r="I48" i="1"/>
  <c r="I50" i="1"/>
  <c r="I36" i="1"/>
  <c r="I51" i="1" s="1"/>
  <c r="I20" i="1"/>
  <c r="J26" i="1" l="1"/>
  <c r="J30" i="1"/>
  <c r="J23" i="1"/>
  <c r="H34" i="1"/>
  <c r="H9" i="1"/>
  <c r="G11" i="1" s="1"/>
  <c r="G12" i="1" s="1"/>
  <c r="G13" i="1" s="1"/>
  <c r="G15" i="1" s="1"/>
  <c r="H39" i="1"/>
  <c r="H40" i="1" s="1"/>
  <c r="I33" i="1"/>
  <c r="I34" i="1" s="1"/>
  <c r="K19" i="1"/>
  <c r="K83" i="1"/>
  <c r="L82" i="1"/>
  <c r="L92" i="1"/>
  <c r="L97" i="1" s="1"/>
  <c r="M67" i="1"/>
  <c r="K98" i="1"/>
  <c r="K22" i="1"/>
  <c r="H53" i="1"/>
  <c r="H58" i="1" s="1"/>
  <c r="H46" i="1"/>
  <c r="J20" i="1"/>
  <c r="J36" i="1"/>
  <c r="J51" i="1" s="1"/>
  <c r="J48" i="1"/>
  <c r="J50" i="1"/>
  <c r="K23" i="1" l="1"/>
  <c r="K26" i="1"/>
  <c r="K30" i="1"/>
  <c r="I9" i="1"/>
  <c r="H11" i="1" s="1"/>
  <c r="H12" i="1" s="1"/>
  <c r="H13" i="1" s="1"/>
  <c r="H14" i="1" s="1"/>
  <c r="G14" i="1"/>
  <c r="I39" i="1"/>
  <c r="I40" i="1" s="1"/>
  <c r="I42" i="1"/>
  <c r="I45" i="1" s="1"/>
  <c r="I53" i="1" s="1"/>
  <c r="I58" i="1" s="1"/>
  <c r="J33" i="1"/>
  <c r="J42" i="1" s="1"/>
  <c r="J45" i="1" s="1"/>
  <c r="N67" i="1"/>
  <c r="M92" i="1"/>
  <c r="M97" i="1" s="1"/>
  <c r="M82" i="1"/>
  <c r="L22" i="1"/>
  <c r="L98" i="1"/>
  <c r="L19" i="1"/>
  <c r="L83" i="1"/>
  <c r="K50" i="1"/>
  <c r="K36" i="1"/>
  <c r="K51" i="1" s="1"/>
  <c r="K48" i="1"/>
  <c r="K20" i="1"/>
  <c r="L26" i="1" l="1"/>
  <c r="L30" i="1"/>
  <c r="H15" i="1"/>
  <c r="J39" i="1"/>
  <c r="J40" i="1" s="1"/>
  <c r="J34" i="1"/>
  <c r="I11" i="1"/>
  <c r="I12" i="1" s="1"/>
  <c r="I13" i="1" s="1"/>
  <c r="I14" i="1" s="1"/>
  <c r="I46" i="1"/>
  <c r="K33" i="1"/>
  <c r="K34" i="1" s="1"/>
  <c r="M22" i="1"/>
  <c r="M98" i="1"/>
  <c r="N92" i="1"/>
  <c r="N97" i="1" s="1"/>
  <c r="N82" i="1"/>
  <c r="J53" i="1"/>
  <c r="J58" i="1" s="1"/>
  <c r="J46" i="1"/>
  <c r="L20" i="1"/>
  <c r="L48" i="1"/>
  <c r="L50" i="1"/>
  <c r="L36" i="1"/>
  <c r="L51" i="1" s="1"/>
  <c r="L23" i="1"/>
  <c r="M19" i="1"/>
  <c r="M83" i="1"/>
  <c r="M26" i="1" l="1"/>
  <c r="M30" i="1"/>
  <c r="I15" i="1"/>
  <c r="K42" i="1"/>
  <c r="K45" i="1" s="1"/>
  <c r="K53" i="1" s="1"/>
  <c r="K58" i="1" s="1"/>
  <c r="L33" i="1"/>
  <c r="L39" i="1" s="1"/>
  <c r="L40" i="1" s="1"/>
  <c r="K39" i="1"/>
  <c r="K40" i="1" s="1"/>
  <c r="M48" i="1"/>
  <c r="M50" i="1"/>
  <c r="M20" i="1"/>
  <c r="M36" i="1"/>
  <c r="M51" i="1" s="1"/>
  <c r="N83" i="1"/>
  <c r="N19" i="1"/>
  <c r="N98" i="1"/>
  <c r="N22" i="1"/>
  <c r="M23" i="1"/>
  <c r="N26" i="1" l="1"/>
  <c r="N30" i="1"/>
  <c r="K46" i="1"/>
  <c r="L34" i="1"/>
  <c r="L42" i="1"/>
  <c r="L45" i="1" s="1"/>
  <c r="L53" i="1" s="1"/>
  <c r="L58" i="1" s="1"/>
  <c r="M33" i="1"/>
  <c r="M34" i="1" s="1"/>
  <c r="N23" i="1"/>
  <c r="N36" i="1"/>
  <c r="N51" i="1" s="1"/>
  <c r="N48" i="1"/>
  <c r="N50" i="1"/>
  <c r="N20" i="1"/>
  <c r="L46" i="1" l="1"/>
  <c r="M42" i="1"/>
  <c r="M45" i="1" s="1"/>
  <c r="M53" i="1" s="1"/>
  <c r="M58" i="1" s="1"/>
  <c r="M39" i="1"/>
  <c r="M40" i="1" s="1"/>
  <c r="N33" i="1"/>
  <c r="N39" i="1" s="1"/>
  <c r="N40" i="1" s="1"/>
  <c r="M46" i="1" l="1"/>
  <c r="N34" i="1"/>
  <c r="N42" i="1"/>
  <c r="N45" i="1" s="1"/>
  <c r="N53" i="1" s="1"/>
  <c r="N46" i="1" l="1"/>
  <c r="N55" i="1"/>
  <c r="N58" i="1" s="1"/>
  <c r="G116" i="8" l="1"/>
  <c r="H116" i="8"/>
  <c r="E116" i="8"/>
  <c r="F116" i="8"/>
  <c r="H117" i="8"/>
  <c r="E117" i="8"/>
  <c r="G117" i="8"/>
  <c r="F117" i="8"/>
  <c r="J117" i="8"/>
  <c r="K117" i="8"/>
  <c r="M117" i="8"/>
  <c r="L117" i="8"/>
  <c r="L116" i="8"/>
  <c r="J116" i="8"/>
  <c r="M116" i="8"/>
  <c r="K116" i="8"/>
  <c r="K114" i="8" l="1"/>
  <c r="K19" i="8" s="1"/>
  <c r="K21" i="8" s="1"/>
  <c r="K48" i="8" s="1"/>
  <c r="F114" i="8"/>
  <c r="F19" i="8" s="1"/>
  <c r="F21" i="8" s="1"/>
  <c r="F48" i="8" s="1"/>
  <c r="M114" i="8"/>
  <c r="M19" i="8" s="1"/>
  <c r="M21" i="8" s="1"/>
  <c r="M48" i="8" s="1"/>
  <c r="E114" i="8"/>
  <c r="E19" i="8" s="1"/>
  <c r="J114" i="8"/>
  <c r="J19" i="8" s="1"/>
  <c r="H114" i="8"/>
  <c r="H19" i="8" s="1"/>
  <c r="H21" i="8" s="1"/>
  <c r="H48" i="8" s="1"/>
  <c r="L114" i="8"/>
  <c r="L19" i="8" s="1"/>
  <c r="L21" i="8" s="1"/>
  <c r="G114" i="8"/>
  <c r="G19" i="8" s="1"/>
  <c r="G21" i="8" s="1"/>
  <c r="G48" i="8" s="1"/>
  <c r="K22" i="8" l="1"/>
  <c r="M49" i="8"/>
  <c r="K49" i="8"/>
  <c r="M22" i="8"/>
  <c r="L22" i="8"/>
  <c r="L48" i="8"/>
  <c r="L49" i="8" s="1"/>
  <c r="N114" i="8"/>
  <c r="I114" i="8"/>
  <c r="N19" i="8"/>
  <c r="N21" i="8" s="1"/>
  <c r="J21" i="8"/>
  <c r="E21" i="8"/>
  <c r="E48" i="8" s="1"/>
  <c r="I19" i="8"/>
  <c r="I21" i="8" s="1"/>
  <c r="I62" i="8" l="1"/>
  <c r="I48" i="8"/>
  <c r="C67" i="1"/>
  <c r="J22" i="8"/>
  <c r="J48" i="8"/>
  <c r="J49" i="8" s="1"/>
  <c r="N22" i="8"/>
  <c r="O22" i="8"/>
  <c r="N48" i="8"/>
  <c r="D67" i="1"/>
  <c r="N62" i="8"/>
  <c r="N63" i="8" l="1"/>
  <c r="D68" i="1"/>
  <c r="D82" i="1"/>
  <c r="E68" i="1"/>
  <c r="D92" i="1"/>
  <c r="D97" i="1" s="1"/>
  <c r="N90" i="8"/>
  <c r="I26" i="13"/>
  <c r="I39" i="13" s="1"/>
  <c r="N49" i="8"/>
  <c r="O49" i="8"/>
  <c r="C92" i="1"/>
  <c r="C97" i="1" s="1"/>
  <c r="C82" i="1"/>
  <c r="C19" i="1" s="1"/>
  <c r="B5" i="15" s="1"/>
  <c r="B26" i="15" s="1"/>
  <c r="I90" i="8"/>
  <c r="H26" i="13"/>
  <c r="H39" i="13" s="1"/>
  <c r="I63" i="8"/>
  <c r="I78" i="8" s="1"/>
  <c r="I80" i="8" s="1"/>
  <c r="B15" i="15" l="1"/>
  <c r="B19" i="15"/>
  <c r="I65" i="8"/>
  <c r="C37" i="1"/>
  <c r="C30" i="1"/>
  <c r="C26" i="1"/>
  <c r="C49" i="1"/>
  <c r="C50" i="1"/>
  <c r="N64" i="8"/>
  <c r="N78" i="8"/>
  <c r="O64" i="8"/>
  <c r="C22" i="1"/>
  <c r="C98" i="1"/>
  <c r="N92" i="8"/>
  <c r="N96" i="8"/>
  <c r="D22" i="1"/>
  <c r="C11" i="15" s="1"/>
  <c r="D98" i="1"/>
  <c r="D19" i="1"/>
  <c r="C5" i="15" s="1"/>
  <c r="E83" i="1"/>
  <c r="I86" i="8"/>
  <c r="I84" i="8"/>
  <c r="I85" i="8"/>
  <c r="I92" i="8"/>
  <c r="I96" i="8"/>
  <c r="N65" i="8"/>
  <c r="I94" i="8" l="1"/>
  <c r="C22" i="15"/>
  <c r="C28" i="15" s="1"/>
  <c r="C29" i="15" s="1"/>
  <c r="C26" i="15"/>
  <c r="I98" i="8"/>
  <c r="C15" i="15"/>
  <c r="C19" i="15"/>
  <c r="C12" i="15"/>
  <c r="C23" i="1"/>
  <c r="B11" i="15"/>
  <c r="C6" i="15"/>
  <c r="D6" i="15"/>
  <c r="N86" i="8"/>
  <c r="N84" i="8"/>
  <c r="N85" i="8"/>
  <c r="N98" i="8" s="1"/>
  <c r="N79" i="8"/>
  <c r="O79" i="8"/>
  <c r="N80" i="8"/>
  <c r="I87" i="8"/>
  <c r="E20" i="1"/>
  <c r="D50" i="1"/>
  <c r="D30" i="1"/>
  <c r="D49" i="1"/>
  <c r="D20" i="1"/>
  <c r="D26" i="1"/>
  <c r="D33" i="1"/>
  <c r="D37" i="1"/>
  <c r="D23" i="1"/>
  <c r="C33" i="1"/>
  <c r="B12" i="15" l="1"/>
  <c r="B22" i="15"/>
  <c r="B28" i="15" s="1"/>
  <c r="B29" i="15" s="1"/>
  <c r="C42" i="1"/>
  <c r="C45" i="1" s="1"/>
  <c r="C39" i="1"/>
  <c r="C40" i="1" s="1"/>
  <c r="C34" i="1"/>
  <c r="D34" i="1"/>
  <c r="D9" i="1"/>
  <c r="D39" i="1"/>
  <c r="D40" i="1" s="1"/>
  <c r="D42" i="1"/>
  <c r="D45" i="1" s="1"/>
  <c r="N87" i="8"/>
  <c r="N94" i="8"/>
  <c r="N88" i="8" l="1"/>
  <c r="O88" i="8"/>
  <c r="D46" i="1"/>
  <c r="D53" i="1"/>
  <c r="D58" i="1" s="1"/>
  <c r="C53" i="1"/>
  <c r="C58" i="1" s="1"/>
  <c r="C46" i="1"/>
  <c r="F14" i="15"/>
  <c r="F15" i="15" s="1"/>
  <c r="G26" i="1"/>
  <c r="G33" i="1"/>
  <c r="G34" i="1" s="1"/>
  <c r="G9" i="1" l="1"/>
  <c r="F11" i="1" s="1"/>
  <c r="F12" i="1" s="1"/>
  <c r="F13" i="1" s="1"/>
  <c r="F14" i="1" s="1"/>
  <c r="G39" i="1"/>
  <c r="G40" i="1" s="1"/>
  <c r="F22" i="15"/>
  <c r="F28" i="15" s="1"/>
  <c r="F29" i="15" s="1"/>
  <c r="G42" i="1"/>
  <c r="G45" i="1" s="1"/>
  <c r="F15" i="1" l="1"/>
  <c r="G46" i="1"/>
  <c r="G53" i="1"/>
  <c r="G58" i="1" s="1"/>
  <c r="B1" i="1" s="1"/>
  <c r="B3" i="1" s="1"/>
  <c r="E7" i="1" l="1"/>
  <c r="D7" i="1"/>
  <c r="H6" i="1"/>
  <c r="G6" i="1"/>
  <c r="E6" i="1"/>
  <c r="I7" i="1"/>
  <c r="F6" i="1"/>
  <c r="I6" i="1"/>
  <c r="D6" i="1"/>
  <c r="F7" i="1"/>
  <c r="G7" i="1"/>
  <c r="H7" i="1"/>
</calcChain>
</file>

<file path=xl/comments1.xml><?xml version="1.0" encoding="utf-8"?>
<comments xmlns="http://schemas.openxmlformats.org/spreadsheetml/2006/main">
  <authors>
    <author>Sriram Balasuryan</author>
  </authors>
  <commentList>
    <comment ref="C84" authorId="0">
      <text>
        <r>
          <rPr>
            <b/>
            <sz val="8"/>
            <color indexed="81"/>
            <rFont val="Tahoma"/>
            <family val="2"/>
          </rPr>
          <t>Sriram Balasuryan:</t>
        </r>
        <r>
          <rPr>
            <sz val="8"/>
            <color indexed="81"/>
            <rFont val="Tahoma"/>
            <family val="2"/>
          </rPr>
          <t xml:space="preserve">
estimated based on populations
</t>
        </r>
      </text>
    </comment>
  </commentList>
</comments>
</file>

<file path=xl/comments2.xml><?xml version="1.0" encoding="utf-8"?>
<comments xmlns="http://schemas.openxmlformats.org/spreadsheetml/2006/main">
  <authors>
    <author>Sriram Balasuryan</author>
  </authors>
  <commentList>
    <comment ref="O1" authorId="0">
      <text>
        <r>
          <rPr>
            <b/>
            <sz val="9"/>
            <color indexed="81"/>
            <rFont val="Tahoma"/>
            <family val="2"/>
          </rPr>
          <t>Sriram Balasuryan:</t>
        </r>
        <r>
          <rPr>
            <sz val="9"/>
            <color indexed="81"/>
            <rFont val="Tahoma"/>
            <family val="2"/>
          </rPr>
          <t xml:space="preserve">
$44bn non-hospital lab; $44 / req 
</t>
        </r>
      </text>
    </comment>
    <comment ref="Q143" authorId="0">
      <text>
        <r>
          <rPr>
            <b/>
            <sz val="9"/>
            <color indexed="81"/>
            <rFont val="Tahoma"/>
            <family val="2"/>
          </rPr>
          <t>Sriram Balasuryan:</t>
        </r>
        <r>
          <rPr>
            <sz val="9"/>
            <color indexed="81"/>
            <rFont val="Tahoma"/>
            <family val="2"/>
          </rPr>
          <t xml:space="preserve">
as of 9/7/2013</t>
        </r>
      </text>
    </comment>
    <comment ref="S143" authorId="0">
      <text>
        <r>
          <rPr>
            <b/>
            <sz val="9"/>
            <color indexed="81"/>
            <rFont val="Tahoma"/>
            <family val="2"/>
          </rPr>
          <t>Sriram Balasuryan:</t>
        </r>
        <r>
          <rPr>
            <sz val="9"/>
            <color indexed="81"/>
            <rFont val="Tahoma"/>
            <family val="2"/>
          </rPr>
          <t xml:space="preserve">
estimated from Google Maps density</t>
        </r>
      </text>
    </comment>
    <comment ref="U143" authorId="0">
      <text>
        <r>
          <rPr>
            <b/>
            <sz val="9"/>
            <color indexed="81"/>
            <rFont val="Tahoma"/>
            <family val="2"/>
          </rPr>
          <t>Sriram Balasuryan:</t>
        </r>
        <r>
          <rPr>
            <sz val="9"/>
            <color indexed="81"/>
            <rFont val="Tahoma"/>
            <family val="2"/>
          </rPr>
          <t xml:space="preserve">
as of Aug 30, 2013 from WAG website</t>
        </r>
      </text>
    </comment>
  </commentList>
</comments>
</file>

<file path=xl/comments3.xml><?xml version="1.0" encoding="utf-8"?>
<comments xmlns="http://schemas.openxmlformats.org/spreadsheetml/2006/main">
  <authors>
    <author>Sriram Balasuryan</author>
  </authors>
  <commentList>
    <comment ref="C84" authorId="0">
      <text>
        <r>
          <rPr>
            <b/>
            <sz val="8"/>
            <color indexed="81"/>
            <rFont val="Tahoma"/>
            <family val="2"/>
          </rPr>
          <t>Sriram Balasuryan:</t>
        </r>
        <r>
          <rPr>
            <sz val="8"/>
            <color indexed="81"/>
            <rFont val="Tahoma"/>
            <family val="2"/>
          </rPr>
          <t xml:space="preserve">
estimated based on populations
</t>
        </r>
      </text>
    </comment>
  </commentList>
</comments>
</file>

<file path=xl/comments4.xml><?xml version="1.0" encoding="utf-8"?>
<comments xmlns="http://schemas.openxmlformats.org/spreadsheetml/2006/main">
  <authors>
    <author>Theranos</author>
  </authors>
  <commentList>
    <comment ref="B9" authorId="0">
      <text>
        <r>
          <rPr>
            <b/>
            <sz val="9"/>
            <color indexed="81"/>
            <rFont val="Tahoma"/>
            <family val="2"/>
          </rPr>
          <t>Theranos:</t>
        </r>
        <r>
          <rPr>
            <sz val="9"/>
            <color indexed="81"/>
            <rFont val="Tahoma"/>
            <family val="2"/>
          </rPr>
          <t xml:space="preserve">
includes human interaction</t>
        </r>
      </text>
    </comment>
  </commentList>
</comments>
</file>

<file path=xl/comments5.xml><?xml version="1.0" encoding="utf-8"?>
<comments xmlns="http://schemas.openxmlformats.org/spreadsheetml/2006/main">
  <authors>
    <author>Theranos</author>
  </authors>
  <commentList>
    <comment ref="C8" authorId="0">
      <text>
        <r>
          <rPr>
            <b/>
            <sz val="9"/>
            <color indexed="81"/>
            <rFont val="Tahoma"/>
            <family val="2"/>
          </rPr>
          <t>Theranos:</t>
        </r>
        <r>
          <rPr>
            <sz val="9"/>
            <color indexed="81"/>
            <rFont val="Tahoma"/>
            <family val="2"/>
          </rPr>
          <t xml:space="preserve">
Covered as of November 2013</t>
        </r>
      </text>
    </comment>
  </commentList>
</comments>
</file>

<file path=xl/sharedStrings.xml><?xml version="1.0" encoding="utf-8"?>
<sst xmlns="http://schemas.openxmlformats.org/spreadsheetml/2006/main" count="4597" uniqueCount="2301">
  <si>
    <t xml:space="preserve">   %growth</t>
  </si>
  <si>
    <t>Theranos Net Revenue</t>
  </si>
  <si>
    <t xml:space="preserve">   %margin</t>
  </si>
  <si>
    <t>FCF</t>
  </si>
  <si>
    <t>Physican Office Labs</t>
  </si>
  <si>
    <t>Independent Labs</t>
  </si>
  <si>
    <t>Hospital Outreach</t>
  </si>
  <si>
    <t>Hospital Inpatient</t>
  </si>
  <si>
    <t>Government</t>
  </si>
  <si>
    <t>EBIT</t>
  </si>
  <si>
    <t>Chnge in NWC (3% Net Rev)</t>
  </si>
  <si>
    <t>Tax</t>
  </si>
  <si>
    <t xml:space="preserve">   %rate</t>
  </si>
  <si>
    <t>NOPAT</t>
  </si>
  <si>
    <t>Terminal Value</t>
  </si>
  <si>
    <t>Present Value</t>
  </si>
  <si>
    <t>Discount Rate</t>
  </si>
  <si>
    <t>NPV</t>
  </si>
  <si>
    <t>Net Cash</t>
  </si>
  <si>
    <t>Total Value</t>
  </si>
  <si>
    <t>2014 Device cost + installation/config + Training</t>
  </si>
  <si>
    <t>2015+ Device cost + installation/config + Training</t>
  </si>
  <si>
    <t>Depreciations PP&amp;E (SL assumed)</t>
  </si>
  <si>
    <t>Years</t>
    <phoneticPr fontId="0" type="noConversion"/>
  </si>
  <si>
    <t>Device Depreciation</t>
  </si>
  <si>
    <t>Years</t>
  </si>
  <si>
    <t>Average Runtime - G1 (in Lab)</t>
  </si>
  <si>
    <t>hour</t>
  </si>
  <si>
    <t>Average Runtime - G2</t>
  </si>
  <si>
    <t>Retail Pharmacy (US ONLY)</t>
  </si>
  <si>
    <t>Revenue Per requisition</t>
  </si>
  <si>
    <t>By refernce, average medicare reimbursement is $65-85</t>
  </si>
  <si>
    <t>fully laoded cost/minilab in rx in 2015</t>
  </si>
  <si>
    <t>onsite Device Deployment Rate (% of Rx) in 2015</t>
  </si>
  <si>
    <t>Market Data</t>
  </si>
  <si>
    <t>ER USA</t>
    <phoneticPr fontId="0" type="noConversion"/>
  </si>
  <si>
    <t># of ER in US</t>
    <phoneticPr fontId="0" type="noConversion"/>
  </si>
  <si>
    <t># of ER Visits/Year</t>
    <phoneticPr fontId="0" type="noConversion"/>
  </si>
  <si>
    <t>% of ER visits requiring Lab Tests</t>
  </si>
  <si>
    <t># of ER visits requiring blood tests</t>
    <phoneticPr fontId="0" type="noConversion"/>
  </si>
  <si>
    <t>Annual TESTS/MINILAB Ratio</t>
    <phoneticPr fontId="0" type="noConversion"/>
  </si>
  <si>
    <t>ICU USA</t>
    <phoneticPr fontId="0" type="noConversion"/>
  </si>
  <si>
    <t># of ICU in US</t>
    <phoneticPr fontId="0" type="noConversion"/>
  </si>
  <si>
    <t>(6000 confirmed in 2005)</t>
  </si>
  <si>
    <t># of ICU Patients days per Year</t>
  </si>
  <si>
    <t>(55K ICU patients in US per night in 2005)</t>
  </si>
  <si>
    <t>% of ICU days requiring Lab tests</t>
  </si>
  <si>
    <t>(this will number be 200% if not higher - multiple tests/day in ICU - if ICU physicians could do more sampling which they cant with larger draws)</t>
  </si>
  <si>
    <t># of test per person per day</t>
  </si>
  <si>
    <t># of ICU blood tests</t>
    <phoneticPr fontId="0" type="noConversion"/>
  </si>
  <si>
    <t>DDAY HOSPITALS. NUM UNITS/Locations 2015</t>
  </si>
  <si>
    <t>Blended sale price/cartdidge to ICU/ER (onsite)</t>
  </si>
  <si>
    <t>Retail US</t>
  </si>
  <si>
    <t>Walgreens</t>
  </si>
  <si>
    <t>Theranos Locations</t>
  </si>
  <si>
    <t>Other Retail Pharmacies</t>
  </si>
  <si>
    <t>TOTAL::Retail Pharmacies LOCATIONS</t>
  </si>
  <si>
    <t>Rx Tests/day/location</t>
  </si>
  <si>
    <t>= Rx Tests Sold/Day</t>
  </si>
  <si>
    <t>Total at Retail Pharmacies DAILY-&gt;</t>
  </si>
  <si>
    <t>MONTHLY PROJECTIONS</t>
  </si>
  <si>
    <t>Retail Pharmacies</t>
  </si>
  <si>
    <t>total # of Retail locations</t>
  </si>
  <si>
    <t>Number of Patients Processed</t>
  </si>
  <si>
    <t>Revenue</t>
  </si>
  <si>
    <t>Physicians' Offices</t>
  </si>
  <si>
    <t>Number of Physicians Offices</t>
  </si>
  <si>
    <t>Requisitions collected/Performed/Month</t>
  </si>
  <si>
    <t>Hospitals (courier)</t>
  </si>
  <si>
    <t>Number of Locations</t>
  </si>
  <si>
    <t>Requisitions Served</t>
  </si>
  <si>
    <t>Hospitals (OnSite)</t>
  </si>
  <si>
    <t>DOD</t>
  </si>
  <si>
    <t>TBD</t>
  </si>
  <si>
    <t>International</t>
  </si>
  <si>
    <t>Samples Per day processed at Lab(s)</t>
  </si>
  <si>
    <t xml:space="preserve">MINILABS 
NEW PRODUCTION </t>
  </si>
  <si>
    <t>Theranos Labs</t>
  </si>
  <si>
    <t>Hospitals</t>
  </si>
  <si>
    <t>Total New Minilabs Produced</t>
  </si>
  <si>
    <t>Cumulative Minilab Inventory</t>
  </si>
  <si>
    <t xml:space="preserve"> Projected Statement of Income</t>
  </si>
  <si>
    <t>Period Ending</t>
  </si>
  <si>
    <t>[Lives Covered through executed agreements with payors  in US]</t>
  </si>
  <si>
    <t>160M</t>
  </si>
  <si>
    <t>200M+</t>
  </si>
  <si>
    <t>220M+</t>
  </si>
  <si>
    <t>Revenue (US COMMERCIAL ONLY)</t>
  </si>
  <si>
    <t>Lab Services from US Retail Pharmacies</t>
  </si>
  <si>
    <t>Lab Services Revenue from Physicians Offices (courier)</t>
  </si>
  <si>
    <t>Lab Services Revenue from Hospitals (courier)</t>
  </si>
  <si>
    <t>OnSite Services Revenue from Hospitals</t>
  </si>
  <si>
    <t>Pharmaceuticals Services</t>
  </si>
  <si>
    <t>Total Revenue</t>
    <phoneticPr fontId="0" type="noConversion"/>
  </si>
  <si>
    <t>Cost of Revenue:</t>
  </si>
  <si>
    <t>Projected COGS</t>
  </si>
  <si>
    <t>Retail Pharmacy</t>
  </si>
  <si>
    <t>Physicians Office (courier)</t>
  </si>
  <si>
    <t>Hospital (courier)</t>
  </si>
  <si>
    <t>Hospital (onsite)</t>
  </si>
  <si>
    <t>Pharmaceutical Services</t>
  </si>
  <si>
    <t>Total Cost of Revenue</t>
  </si>
  <si>
    <t>Gross Profit</t>
    <phoneticPr fontId="0" type="noConversion"/>
  </si>
  <si>
    <t>Operating Expenses</t>
  </si>
  <si>
    <t>Projected OpEx</t>
  </si>
  <si>
    <t>Research &amp; Development (including Killer software apps &amp; support)</t>
  </si>
  <si>
    <t>CLIA Lab Operations</t>
  </si>
  <si>
    <t>Data Center</t>
  </si>
  <si>
    <t>Sales, Marketing &amp; Branding</t>
  </si>
  <si>
    <t>G&amp;A</t>
  </si>
  <si>
    <t>Total Operating Expenses</t>
    <phoneticPr fontId="0" type="noConversion"/>
  </si>
  <si>
    <t>EBITDA</t>
  </si>
  <si>
    <t>Depreciation &amp; Taxes</t>
  </si>
  <si>
    <t>Depreciation of Capital Assets</t>
  </si>
  <si>
    <t>Taxes</t>
  </si>
  <si>
    <t>Net Income</t>
  </si>
  <si>
    <t>Proforma Quaterly Statement of Cash Flow</t>
  </si>
  <si>
    <t>Beginning Balance for Period</t>
  </si>
  <si>
    <t>Net Income from Income Statement</t>
  </si>
  <si>
    <t>(deprectiaion expense)</t>
  </si>
  <si>
    <t>Sale of Stock - Options exercised</t>
  </si>
  <si>
    <t>Services NBL by Walgreens</t>
  </si>
  <si>
    <t>Services NBL by Safeway</t>
  </si>
  <si>
    <t>Services NBL by Other Retailers</t>
  </si>
  <si>
    <t>Adjustments to prepayment of revenue</t>
  </si>
  <si>
    <t>Proceeds from Equity Transactions</t>
  </si>
  <si>
    <t>Capital Expeditures:</t>
  </si>
  <si>
    <t>Lines of Production</t>
  </si>
  <si>
    <t>Minilabs</t>
  </si>
  <si>
    <t>Total Capital Expenditures</t>
  </si>
  <si>
    <t>TOTAL CASHFLOW IN (OUT)</t>
    <phoneticPr fontId="0" type="noConversion"/>
  </si>
  <si>
    <t>Ending Cash Balance</t>
  </si>
  <si>
    <t>THERANOS, INC. AND SUBSIDIARY</t>
  </si>
  <si>
    <t>Consolidated Balance Sheets</t>
  </si>
  <si>
    <t>$'000</t>
  </si>
  <si>
    <t>Current assets</t>
  </si>
  <si>
    <t>Cash &amp; investment</t>
  </si>
  <si>
    <t>Accounts Receivable</t>
  </si>
  <si>
    <t>Inventory</t>
  </si>
  <si>
    <t>Other current assets</t>
  </si>
  <si>
    <t>Total current assets</t>
  </si>
  <si>
    <t>Plant &amp; Equipment</t>
  </si>
  <si>
    <t>Note Receivable</t>
  </si>
  <si>
    <t>Total Assets</t>
  </si>
  <si>
    <t>Current liabilities</t>
  </si>
  <si>
    <t>Accounts Payable</t>
  </si>
  <si>
    <t>Other current liabilities</t>
  </si>
  <si>
    <t>Total current liabilities</t>
  </si>
  <si>
    <t>Deferred revenue</t>
  </si>
  <si>
    <t>Long term debt</t>
  </si>
  <si>
    <t>Notes payable</t>
  </si>
  <si>
    <t>Repurchaseable shares</t>
  </si>
  <si>
    <t>Other long term liabilities</t>
  </si>
  <si>
    <t>Total liablities</t>
  </si>
  <si>
    <t>Common stock</t>
  </si>
  <si>
    <t>Preferred stock</t>
  </si>
  <si>
    <t>Accumulated deficit</t>
  </si>
  <si>
    <t>Total stockholder' equity</t>
  </si>
  <si>
    <t>Total liabilities and stockholders' equity</t>
  </si>
  <si>
    <t>NOTES:</t>
  </si>
  <si>
    <t>Please note that the following intangible assets are not included in the balance sheet above. These assets have been valued at multi-billion dollar valuation in the past.</t>
  </si>
  <si>
    <t>Walgreens Partnership</t>
  </si>
  <si>
    <t>Theranos has a  long term strategic partnership with Walgreens. Walgreens has invested hundreds of millions of</t>
  </si>
  <si>
    <t>dollars in Theranos infrastructure and will be investing hundreds of millions of additional capital in 2014 and 2015. The Walgreens contract allows Theranos to maintain its branding inside every Walgreens store</t>
  </si>
  <si>
    <t>and is Walgreeens Exclusive Labortory provider across the entire United States across all of its 8800 pharmacies nationwide.</t>
  </si>
  <si>
    <t>Theranos' Safeway Contract</t>
  </si>
  <si>
    <t>Safeway has already built out Theranos Wellness Centers at over 960+ Safeway Pharmacies nationwide with an investment of about $400M</t>
  </si>
  <si>
    <t>In addition, these Wellness Centers will be Theranos Branded inside and outside the Safeway stores and are located inside Safeway Stores.</t>
  </si>
  <si>
    <t>Theranos Wellness Centers will get exposure to tens of millions of unique customers every week by being next to Pharmacy inside</t>
  </si>
  <si>
    <t>every safeway pharmacy.</t>
  </si>
  <si>
    <t>Boots Relationship</t>
  </si>
  <si>
    <t>Through Theranos' partnership with Walgreens, Theranos has access to Boots stores throughout Europe across the Boots Pharmacy network. Boots currently operates over 3400 pharmacies across Europe.</t>
  </si>
  <si>
    <t>Hospital Contracts</t>
  </si>
  <si>
    <t>Theranos has strategic partnerhips in place with some of key thought leaders in the US including Intermountain Healthcare which is also an Investor in Theranos. These partnerships gives Theranos access to largest ACO, hundreds of hospitals and thousdands of physician offices.</t>
  </si>
  <si>
    <t>Intellectual Property</t>
  </si>
  <si>
    <t>Theranos has hundreds of patents on file and many of its Key patents have already been issues. Equallly importantly, none of Theranos' patents have even been rejected or challanged.</t>
  </si>
  <si>
    <t>Payor Contracts</t>
  </si>
  <si>
    <t>Theranos has contracts with largest insurances companies in US and every market Theranos enters. Theranos has provider agreement in place with UHG - the largest private insurer in the US.</t>
  </si>
  <si>
    <t>Theranos Nucleic Acid Amplification Methodology</t>
  </si>
  <si>
    <t>Theranos has invented its own NAA assays which allows it to offer NAA assays at drastically lower cost.</t>
  </si>
  <si>
    <t xml:space="preserve">   ______</t>
  </si>
  <si>
    <t>Theranos Revenue Model</t>
  </si>
  <si>
    <t>Rx Locations</t>
    <phoneticPr fontId="10" type="noConversion"/>
  </si>
  <si>
    <t>Retail Build</t>
  </si>
  <si>
    <t>Revenue Drivers</t>
  </si>
  <si>
    <t>Bear</t>
  </si>
  <si>
    <t>Bull</t>
  </si>
  <si>
    <t>Base (Company)</t>
  </si>
  <si>
    <t>Note: 1- Bear Case, 2-Base (Company) Case, 3-Bull Case</t>
  </si>
  <si>
    <t>Walgreens -Rx / Day / Location</t>
  </si>
  <si>
    <t>Other Retail -Rx / Day / Location</t>
  </si>
  <si>
    <t>Physician Offices</t>
  </si>
  <si>
    <t>Revenue Per Requisition</t>
  </si>
  <si>
    <t>Retail</t>
  </si>
  <si>
    <t>Physician</t>
  </si>
  <si>
    <t>Hospital (Courrier)</t>
  </si>
  <si>
    <t>Hospital (Onsite)</t>
  </si>
  <si>
    <t>Requisitions</t>
  </si>
  <si>
    <t>Hospital (On Site)</t>
  </si>
  <si>
    <t>Locations</t>
  </si>
  <si>
    <t>Walgreens - Rx Tests Sold / Day</t>
  </si>
  <si>
    <t>Other Retail - Rx Tests Sold / Day</t>
  </si>
  <si>
    <t>Retail Revenue</t>
  </si>
  <si>
    <t>Physicians Office Revenue</t>
  </si>
  <si>
    <t>Hospital (Courrier) Revenue</t>
  </si>
  <si>
    <t>Number of Hospital (Courrier) Locations</t>
  </si>
  <si>
    <t>Hospital (OnSite) Revenue</t>
  </si>
  <si>
    <t>Total Revenue</t>
  </si>
  <si>
    <t>Revenue / Requisition</t>
  </si>
  <si>
    <t>Total Retail Locations (Avg. for Yr)</t>
  </si>
  <si>
    <t>% growth</t>
  </si>
  <si>
    <t>&lt;&lt;my calcs in red</t>
  </si>
  <si>
    <t xml:space="preserve">PFM Investment </t>
  </si>
  <si>
    <t>%Ownership</t>
  </si>
  <si>
    <t>IRR</t>
  </si>
  <si>
    <t>EV</t>
  </si>
  <si>
    <t>Equity Value</t>
  </si>
  <si>
    <t>Implied Revenue Multiple</t>
  </si>
  <si>
    <t>Implied EBITDA Multiple</t>
  </si>
  <si>
    <t>Equity Value to PFM</t>
  </si>
  <si>
    <t>CoC Return</t>
  </si>
  <si>
    <t>Total Rx / Day / Location (Avg for Yr)</t>
  </si>
  <si>
    <t>Days Open / Month</t>
  </si>
  <si>
    <t>Requistitions / Day</t>
  </si>
  <si>
    <t>Requistitions</t>
  </si>
  <si>
    <t>Out-patient Clinical Dx Market (Ex Theranos)</t>
  </si>
  <si>
    <t>Theranos Physician</t>
  </si>
  <si>
    <t>Theranos Retail</t>
  </si>
  <si>
    <t>Total Pro Forma Out-patient Clinical Dx Market</t>
  </si>
  <si>
    <t>Total Pro Forma Clinical Dx Market</t>
  </si>
  <si>
    <t xml:space="preserve">   %Theranos Share</t>
  </si>
  <si>
    <t>In-patient Clinical Dx Market (Ex Theranos)</t>
  </si>
  <si>
    <t>Theranos Hospital Courrier</t>
  </si>
  <si>
    <t>Theranos Hospital On-Site</t>
  </si>
  <si>
    <t>Total Pro Forma In-patient Clinical Dx Market</t>
  </si>
  <si>
    <t>California</t>
  </si>
  <si>
    <t>Arizona</t>
  </si>
  <si>
    <t>New York</t>
  </si>
  <si>
    <t>Safeway</t>
  </si>
  <si>
    <t>Alliance Boots / Europe</t>
  </si>
  <si>
    <t>Rite-Aid (NY)</t>
  </si>
  <si>
    <t>Base Case</t>
  </si>
  <si>
    <t>Estimated Theranos CA Revenue</t>
  </si>
  <si>
    <t>Estimated Theranos AZ Revenue</t>
  </si>
  <si>
    <t>Estimated Theranos NY Revenue</t>
  </si>
  <si>
    <t xml:space="preserve">   %total</t>
  </si>
  <si>
    <t>Total Target Market</t>
  </si>
  <si>
    <t>Key Geography Market Share</t>
  </si>
  <si>
    <t>&lt;&lt;CA and AZ % declinces as hospitals and physicians in other states ramp</t>
  </si>
  <si>
    <t>&lt;&lt;get from break down from company</t>
  </si>
  <si>
    <t>&lt;&lt;Rite Aid Ramp</t>
  </si>
  <si>
    <t>COGS</t>
  </si>
  <si>
    <t>R&amp;D</t>
  </si>
  <si>
    <t>SG&amp;A</t>
  </si>
  <si>
    <t>Pharmaceutical Services Revenue</t>
  </si>
  <si>
    <t>&lt;&lt;get build up from company</t>
  </si>
  <si>
    <t>Total Theranos Revenue (Excl Pharm Services)</t>
  </si>
  <si>
    <t>DCF Drivers</t>
  </si>
  <si>
    <t xml:space="preserve">   growth%</t>
  </si>
  <si>
    <t>COGs</t>
  </si>
  <si>
    <t>Total Cogs</t>
  </si>
  <si>
    <t xml:space="preserve">    %Sales</t>
  </si>
  <si>
    <t>D&amp;A</t>
  </si>
  <si>
    <t xml:space="preserve">Capex </t>
  </si>
  <si>
    <t>Market Multiple (1 Yr Forward)</t>
  </si>
  <si>
    <t>US Market Share Analysis ( in $mm)</t>
  </si>
  <si>
    <t>&lt;&lt;Includes limited Alliance Boots stores in '16-'18</t>
  </si>
  <si>
    <t>Number of Hospital (On-Site) Locations</t>
  </si>
  <si>
    <t>&lt;&lt;Assume investment made Jan 1st, 2014</t>
  </si>
  <si>
    <t>US Population</t>
  </si>
  <si>
    <t>Requisitions per Metro Area</t>
  </si>
  <si>
    <t>Theranos Penetration</t>
  </si>
  <si>
    <t>Avg. Req / person / yr</t>
  </si>
  <si>
    <t>Portland</t>
  </si>
  <si>
    <t>Seattle</t>
  </si>
  <si>
    <t>San Francisco</t>
  </si>
  <si>
    <t>Los Angeles</t>
  </si>
  <si>
    <t>Dallas</t>
  </si>
  <si>
    <t>Houston</t>
  </si>
  <si>
    <t>Chicago</t>
  </si>
  <si>
    <t>Minneapolis</t>
  </si>
  <si>
    <t>Boston</t>
  </si>
  <si>
    <t>Detriot</t>
  </si>
  <si>
    <t>Philadelphia</t>
  </si>
  <si>
    <t>Tampa Bay</t>
  </si>
  <si>
    <t>Orlando</t>
  </si>
  <si>
    <t>Northeast</t>
  </si>
  <si>
    <t>Mid-West</t>
  </si>
  <si>
    <t>Pacific Northwest</t>
  </si>
  <si>
    <t>Florida</t>
  </si>
  <si>
    <t>Texas</t>
  </si>
  <si>
    <t>West Region</t>
  </si>
  <si>
    <t>table with row headers in column A and column headers in rows 3 through 4 (leading dots indicate sub-parts)</t>
  </si>
  <si>
    <t>Table 1. Annual Estimates of the Population of Metropolitan and Micropolitan Statistical Areas: April 1, 2010 to July 1, 2012</t>
  </si>
  <si>
    <t>CBSA
Code</t>
  </si>
  <si>
    <t>Metro
Division
Code</t>
  </si>
  <si>
    <t>Geographic area</t>
  </si>
  <si>
    <t>Population estimates (as of July 1)</t>
  </si>
  <si>
    <t>Census</t>
  </si>
  <si>
    <t>Estimates base</t>
  </si>
  <si>
    <t>Metropolitan statistical areas</t>
  </si>
  <si>
    <t>(Titles of metropolitan divisions are indented.)</t>
  </si>
  <si>
    <t>10180</t>
  </si>
  <si>
    <t>Abilene, TX</t>
  </si>
  <si>
    <t>10420</t>
  </si>
  <si>
    <t>Akron, OH</t>
  </si>
  <si>
    <t>10500</t>
  </si>
  <si>
    <t>Albany, GA</t>
  </si>
  <si>
    <t>10540</t>
  </si>
  <si>
    <t>Albany, OR</t>
  </si>
  <si>
    <t>10580</t>
  </si>
  <si>
    <t>Albany-Schenectady-Troy, NY</t>
  </si>
  <si>
    <t>10740</t>
  </si>
  <si>
    <t>Albuquerque, NM</t>
  </si>
  <si>
    <t>10780</t>
  </si>
  <si>
    <t>Alexandria, LA</t>
  </si>
  <si>
    <t>10900</t>
  </si>
  <si>
    <t>Allentown-Bethlehem-Easton, PA-NJ</t>
  </si>
  <si>
    <t>11020</t>
  </si>
  <si>
    <t>Altoona, PA</t>
  </si>
  <si>
    <t>11100</t>
  </si>
  <si>
    <t>Amarillo, TX</t>
  </si>
  <si>
    <t>11180</t>
  </si>
  <si>
    <t>Ames, IA</t>
  </si>
  <si>
    <t>11260</t>
  </si>
  <si>
    <t>Anchorage, AK</t>
  </si>
  <si>
    <t>11460</t>
  </si>
  <si>
    <t>Ann Arbor, MI</t>
  </si>
  <si>
    <t>11500</t>
  </si>
  <si>
    <t>Anniston-Oxford-Jacksonville, AL</t>
  </si>
  <si>
    <t>11540</t>
  </si>
  <si>
    <t>Appleton, WI</t>
  </si>
  <si>
    <t>11700</t>
  </si>
  <si>
    <t>Asheville, NC</t>
  </si>
  <si>
    <t>12020</t>
  </si>
  <si>
    <t>Athens-Clarke County, GA</t>
  </si>
  <si>
    <t>12060</t>
  </si>
  <si>
    <t>Atlanta-Sandy Springs-Roswell, GA</t>
  </si>
  <si>
    <t>12100</t>
  </si>
  <si>
    <t>Atlantic City-Hammonton, NJ</t>
  </si>
  <si>
    <t>12220</t>
  </si>
  <si>
    <t>Auburn-Opelika, AL</t>
  </si>
  <si>
    <t>12260</t>
  </si>
  <si>
    <t>Augusta-Richmond County, GA-SC</t>
  </si>
  <si>
    <t>12420</t>
  </si>
  <si>
    <t>Austin-Round Rock, TX</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</si>
  <si>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</si>
  <si>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</si>
  <si>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</si>
  <si>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</si>
  <si>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</si>
  <si>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</si>
  <si>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</si>
  <si>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</si>
  <si>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</si>
  <si>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</si>
  <si>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</si>
  <si>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</si>
  <si>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</si>
  <si>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</si>
  <si>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</si>
  <si>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</si>
  <si>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</si>
  <si>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</si>
  <si>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</si>
  <si>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</si>
  <si>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</si>
  <si>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Bend-Redmond, OR</t>
  </si>
  <si>
    <t>13740</t>
  </si>
  <si>
    <t>Billings, MT</t>
  </si>
  <si>
    <t>13780</t>
  </si>
  <si>
    <t>Binghamton, NY</t>
  </si>
  <si>
    <t>13820</t>
  </si>
  <si>
    <t>Birmingham-Hoover, AL</t>
  </si>
  <si>
    <t>13900</t>
  </si>
  <si>
    <t>Bismarck, ND</t>
  </si>
  <si>
    <t>13980</t>
  </si>
  <si>
    <t>Blacksburg-Christiansburg-Radford, VA</t>
  </si>
  <si>
    <t>14010</t>
  </si>
  <si>
    <t>Bloomington, IL</t>
  </si>
  <si>
    <t>14020</t>
  </si>
  <si>
    <t>Bloomington, IN</t>
  </si>
  <si>
    <t>14100</t>
  </si>
  <si>
    <t>Bloomsburg-Berwick, PA</t>
  </si>
  <si>
    <t>14260</t>
  </si>
  <si>
    <t>Boise City, ID</t>
  </si>
  <si>
    <t>14460</t>
  </si>
  <si>
    <t>Boston-Cambridge-Newton, MA-NH</t>
  </si>
  <si>
    <t>14454</t>
  </si>
  <si>
    <r>
      <t>.</t>
    </r>
    <r>
      <rPr>
        <sz val="8"/>
        <rFont val="Arial"/>
        <family val="2"/>
      </rPr>
      <t>Boston, MA</t>
    </r>
  </si>
  <si>
    <t>15764</t>
  </si>
  <si>
    <r>
      <t>.</t>
    </r>
    <r>
      <rPr>
        <sz val="8"/>
        <rFont val="Arial"/>
        <family val="2"/>
      </rPr>
      <t>Cambridge-Newton-Framingham, MA</t>
    </r>
  </si>
  <si>
    <t>40484</t>
  </si>
  <si>
    <r>
      <t>.</t>
    </r>
    <r>
      <rPr>
        <sz val="8"/>
        <rFont val="Arial"/>
        <family val="2"/>
      </rPr>
      <t>Rockingham County-Strafford County, NH</t>
    </r>
  </si>
  <si>
    <t>14500</t>
  </si>
  <si>
    <t>Boulder, CO</t>
  </si>
  <si>
    <t>14540</t>
  </si>
  <si>
    <t>Bowling Green, KY</t>
  </si>
  <si>
    <t>14740</t>
  </si>
  <si>
    <t>Bremerton-Silverdale, WA</t>
  </si>
  <si>
    <t>14860</t>
  </si>
  <si>
    <t>Bridgeport-Stamford-Norwalk, CT</t>
  </si>
  <si>
    <t>15180</t>
  </si>
  <si>
    <t>Brownsville-Harlingen, TX</t>
  </si>
  <si>
    <t>15260</t>
  </si>
  <si>
    <t>Brunswick, GA</t>
  </si>
  <si>
    <t>15380</t>
  </si>
  <si>
    <t>Buffalo-Cheektowaga-Niagara Falls, NY</t>
  </si>
  <si>
    <t>15500</t>
  </si>
  <si>
    <t>Burlington, NC</t>
  </si>
  <si>
    <t>15540</t>
  </si>
  <si>
    <t>Burlington-South Burlington, VT</t>
  </si>
  <si>
    <t>15680</t>
  </si>
  <si>
    <t>California-Lexington Park, MD</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</si>
  <si>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</si>
  <si>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</si>
  <si>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</si>
  <si>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</si>
  <si>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</si>
  <si>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</si>
  <si>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</si>
  <si>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</si>
  <si>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</si>
  <si>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</si>
  <si>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</si>
  <si>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</si>
  <si>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</si>
  <si>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</si>
  <si>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</si>
  <si>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</si>
  <si>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</si>
  <si>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</si>
  <si>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</si>
  <si>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</si>
  <si>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</si>
  <si>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</si>
  <si>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</si>
  <si>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</si>
  <si>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</si>
  <si>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</si>
  <si>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</si>
  <si>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</si>
  <si>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</si>
  <si>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</si>
  <si>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16980</t>
  </si>
  <si>
    <t>Chicago-Naperville-Elgin, IL-IN-WI</t>
  </si>
  <si>
    <t>16974</t>
  </si>
  <si>
    <r>
      <t>.</t>
    </r>
    <r>
      <rPr>
        <sz val="8"/>
        <rFont val="Arial"/>
        <family val="2"/>
      </rPr>
      <t>Chicago-Naperville-Arlington Heights, IL</t>
    </r>
  </si>
  <si>
    <t>20994</t>
  </si>
  <si>
    <r>
      <t>.</t>
    </r>
    <r>
      <rPr>
        <sz val="8"/>
        <rFont val="Arial"/>
        <family val="2"/>
      </rPr>
      <t>Elgin, IL</t>
    </r>
  </si>
  <si>
    <t>23844</t>
  </si>
  <si>
    <r>
      <t>.</t>
    </r>
    <r>
      <rPr>
        <sz val="8"/>
        <rFont val="Arial"/>
        <family val="2"/>
      </rPr>
      <t>Gary, IN</t>
    </r>
  </si>
  <si>
    <t>29404</t>
  </si>
  <si>
    <r>
      <t>.</t>
    </r>
    <r>
      <rPr>
        <sz val="8"/>
        <rFont val="Arial"/>
        <family val="2"/>
      </rPr>
      <t>Lake County-Kenosha County, IL-WI</t>
    </r>
  </si>
  <si>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</si>
  <si>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</si>
  <si>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</si>
  <si>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</si>
  <si>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</si>
  <si>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</si>
  <si>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</si>
  <si>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</si>
  <si>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</si>
  <si>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</si>
  <si>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</si>
  <si>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</si>
  <si>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</si>
  <si>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</si>
  <si>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</si>
  <si>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</si>
  <si>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</si>
  <si>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</si>
  <si>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</si>
  <si>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</si>
  <si>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</si>
  <si>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</si>
  <si>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</si>
  <si>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</si>
  <si>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</si>
  <si>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</si>
  <si>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</si>
  <si>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</si>
  <si>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</si>
  <si>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</si>
  <si>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</si>
  <si>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</si>
  <si>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</si>
  <si>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</si>
  <si>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19100</t>
  </si>
  <si>
    <t>Dallas-Fort Worth-Arlington, TX</t>
  </si>
  <si>
    <t>19124</t>
  </si>
  <si>
    <r>
      <t>.</t>
    </r>
    <r>
      <rPr>
        <sz val="8"/>
        <rFont val="Arial"/>
        <family val="2"/>
      </rPr>
      <t>Dallas-Plano-Irving, TX</t>
    </r>
  </si>
  <si>
    <t>23104</t>
  </si>
  <si>
    <r>
      <t>.</t>
    </r>
    <r>
      <rPr>
        <sz val="8"/>
        <rFont val="Arial"/>
        <family val="2"/>
      </rPr>
      <t>Fort Worth-Arlington, TX</t>
    </r>
  </si>
  <si>
    <t>19140</t>
  </si>
  <si>
    <t>Dalton, GA</t>
  </si>
  <si>
    <t>19180</t>
  </si>
  <si>
    <t>Danville, IL</t>
  </si>
  <si>
    <t>19300</t>
  </si>
  <si>
    <t>Daphne-Fairhope-Foley, AL</t>
  </si>
  <si>
    <t>19340</t>
  </si>
  <si>
    <t>Davenport-Moline-Rock Island, IA-IL</t>
  </si>
  <si>
    <t>19380</t>
  </si>
  <si>
    <t>Dayton, OH</t>
  </si>
  <si>
    <t>19460</t>
  </si>
  <si>
    <t>Decatur, AL</t>
  </si>
  <si>
    <t>19500</t>
  </si>
  <si>
    <t>Decatur, IL</t>
  </si>
  <si>
    <t>19660</t>
  </si>
  <si>
    <t>Deltona-Daytona Beach-Ormond Beach, FL</t>
  </si>
  <si>
    <t>19740</t>
  </si>
  <si>
    <t>Denver-Aurora-Lakewood, CO</t>
  </si>
  <si>
    <t>19780</t>
  </si>
  <si>
    <t>Des Moines-West Des Moines, IA</t>
  </si>
  <si>
    <t>19820</t>
  </si>
  <si>
    <t>Detroit-Warren-Dearborn, MI</t>
  </si>
  <si>
    <t>19804</t>
  </si>
  <si>
    <r>
      <t>.</t>
    </r>
    <r>
      <rPr>
        <sz val="8"/>
        <rFont val="Arial"/>
        <family val="2"/>
      </rPr>
      <t>Detroit-Dearborn-Livonia, MI</t>
    </r>
  </si>
  <si>
    <t>47664</t>
  </si>
  <si>
    <r>
      <t>.</t>
    </r>
    <r>
      <rPr>
        <sz val="8"/>
        <rFont val="Arial"/>
        <family val="2"/>
      </rPr>
      <t>Warren-Troy-Farmington Hills, MI</t>
    </r>
  </si>
  <si>
    <t>20020</t>
  </si>
  <si>
    <t>Dothan, AL</t>
  </si>
  <si>
    <t>20100</t>
  </si>
  <si>
    <t>Dover, DE</t>
  </si>
  <si>
    <t>20220</t>
  </si>
  <si>
    <t>Dubuque, IA</t>
  </si>
  <si>
    <t>20260</t>
  </si>
  <si>
    <t>Duluth, MN-WI</t>
  </si>
  <si>
    <t>20500</t>
  </si>
  <si>
    <t>Durham-Chapel Hill, NC</t>
  </si>
  <si>
    <t>20700</t>
  </si>
  <si>
    <t>East Stroudsburg, PA</t>
  </si>
  <si>
    <t>20740</t>
  </si>
  <si>
    <t>Eau Claire, WI</t>
  </si>
  <si>
    <t>20940</t>
  </si>
  <si>
    <t>El Centro, CA</t>
  </si>
  <si>
    <t>21060</t>
  </si>
  <si>
    <t>Elizabethtown-Fort Knox, KY</t>
  </si>
  <si>
    <t>21140</t>
  </si>
  <si>
    <t>Elkhart-Goshen, IN</t>
  </si>
  <si>
    <t>21300</t>
  </si>
  <si>
    <t>Elmira, NY</t>
  </si>
  <si>
    <t>21340</t>
  </si>
  <si>
    <t>El Paso, TX</t>
  </si>
  <si>
    <t>21500</t>
  </si>
  <si>
    <t>Erie, PA</t>
  </si>
  <si>
    <t>21660</t>
  </si>
  <si>
    <t>Eugene, OR</t>
  </si>
  <si>
    <t>21780</t>
  </si>
  <si>
    <t>Evansville, IN-KY</t>
  </si>
  <si>
    <t>21820</t>
  </si>
  <si>
    <t>Fairbanks, AK</t>
  </si>
  <si>
    <t>22020</t>
  </si>
  <si>
    <t>Fargo, ND-MN</t>
  </si>
  <si>
    <t>22140</t>
  </si>
  <si>
    <t>Farmington, NM</t>
  </si>
  <si>
    <t>22180</t>
  </si>
  <si>
    <t>Fayetteville, NC</t>
  </si>
  <si>
    <t>22220</t>
  </si>
  <si>
    <t>Fayetteville-Springdale-Rogers, AR-MO</t>
  </si>
  <si>
    <t>22380</t>
  </si>
  <si>
    <t>Flagstaff, AZ</t>
  </si>
  <si>
    <t>22420</t>
  </si>
  <si>
    <t>Flint, MI</t>
  </si>
  <si>
    <t>22500</t>
  </si>
  <si>
    <t>Florence, SC</t>
  </si>
  <si>
    <t>22520</t>
  </si>
  <si>
    <t>Florence-Muscle Shoals, AL</t>
  </si>
  <si>
    <t>22540</t>
  </si>
  <si>
    <t>Fond du Lac, WI</t>
  </si>
  <si>
    <t>22660</t>
  </si>
  <si>
    <t>Fort Collins, CO</t>
  </si>
  <si>
    <t>22900</t>
  </si>
  <si>
    <t>Fort Smith, AR-OK</t>
  </si>
  <si>
    <t>23060</t>
  </si>
  <si>
    <t>Fort Wayne, IN</t>
  </si>
  <si>
    <t>23420</t>
  </si>
  <si>
    <t>Fresno, CA</t>
  </si>
  <si>
    <t>23460</t>
  </si>
  <si>
    <t>Gadsden, AL</t>
  </si>
  <si>
    <t>23540</t>
  </si>
  <si>
    <t>Gainesville, FL</t>
  </si>
  <si>
    <t>23580</t>
  </si>
  <si>
    <t>Gainesville, GA</t>
  </si>
  <si>
    <t>23900</t>
  </si>
  <si>
    <t>Gettysburg, PA</t>
  </si>
  <si>
    <t>24020</t>
  </si>
  <si>
    <t>Glens Falls, NY</t>
  </si>
  <si>
    <t>24140</t>
  </si>
  <si>
    <t>Goldsboro, NC</t>
  </si>
  <si>
    <t>24220</t>
  </si>
  <si>
    <t>Grand Forks, ND-MN</t>
  </si>
  <si>
    <t>24260</t>
  </si>
  <si>
    <t>Grand Island, NE</t>
  </si>
  <si>
    <t>24300</t>
  </si>
  <si>
    <t>Grand Junction, CO</t>
  </si>
  <si>
    <t>24340</t>
  </si>
  <si>
    <t>Grand Rapids-Wyoming, MI</t>
  </si>
  <si>
    <t>24420</t>
  </si>
  <si>
    <t>Grants Pass, OR</t>
  </si>
  <si>
    <t>24500</t>
  </si>
  <si>
    <t>Great Falls, MT</t>
  </si>
  <si>
    <t>24540</t>
  </si>
  <si>
    <t>Greeley, CO</t>
  </si>
  <si>
    <t>24580</t>
  </si>
  <si>
    <t>Green Bay, WI</t>
  </si>
  <si>
    <t>24660</t>
  </si>
  <si>
    <t>Greensboro-High Point, NC</t>
  </si>
  <si>
    <t>24780</t>
  </si>
  <si>
    <t>Greenville, NC</t>
  </si>
  <si>
    <t>24860</t>
  </si>
  <si>
    <t>Greenville-Anderson-Mauldin, SC</t>
  </si>
  <si>
    <t>25060</t>
  </si>
  <si>
    <t>Gulfport-Biloxi-Pascagoula, MS</t>
  </si>
  <si>
    <t>25180</t>
  </si>
  <si>
    <t>Hagerstown-Martinsburg, MD-WV</t>
  </si>
  <si>
    <t>25220</t>
  </si>
  <si>
    <t>Hammond, LA</t>
  </si>
  <si>
    <t>25260</t>
  </si>
  <si>
    <t>Hanford-Corcoran, CA</t>
  </si>
  <si>
    <t>25420</t>
  </si>
  <si>
    <t>Harrisburg-Carlisle, PA</t>
  </si>
  <si>
    <t>25500</t>
  </si>
  <si>
    <t>Harrisonburg, VA</t>
  </si>
  <si>
    <t>25540</t>
  </si>
  <si>
    <t>Hartford-West Hartford-East Hartford, CT</t>
  </si>
  <si>
    <t>25620</t>
  </si>
  <si>
    <t>Hattiesburg, MS</t>
  </si>
  <si>
    <t>25860</t>
  </si>
  <si>
    <t>Hickory-Lenoir-Morganton, NC</t>
  </si>
  <si>
    <t>25940</t>
  </si>
  <si>
    <t>Hilton Head Island-Bluffton-Beaufort, SC</t>
  </si>
  <si>
    <t>25980</t>
  </si>
  <si>
    <t>Hinesville, GA</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</si>
  <si>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</si>
  <si>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</si>
  <si>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</si>
  <si>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</si>
  <si>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</si>
  <si>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</si>
  <si>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</si>
  <si>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</si>
  <si>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</si>
  <si>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</si>
  <si>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</si>
  <si>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</si>
  <si>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</si>
  <si>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</si>
  <si>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</si>
  <si>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</si>
  <si>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</si>
  <si>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</si>
  <si>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</si>
  <si>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</si>
  <si>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</si>
  <si>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</si>
  <si>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</si>
  <si>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</si>
  <si>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</si>
  <si>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</si>
  <si>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</si>
  <si>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</si>
  <si>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</si>
  <si>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</si>
  <si>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</si>
  <si>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</si>
  <si>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</si>
  <si>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</si>
  <si>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</si>
  <si>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</si>
  <si>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</si>
  <si>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</si>
  <si>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</si>
  <si>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</si>
  <si>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</si>
  <si>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</si>
  <si>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</si>
  <si>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</si>
  <si>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</si>
  <si>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</si>
  <si>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</si>
  <si>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</si>
  <si>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</si>
  <si>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</si>
  <si>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</si>
  <si>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</si>
  <si>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</si>
  <si>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</si>
  <si>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</si>
  <si>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Kingsport-Bristol-Bristol, TN-VA</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</si>
  <si>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</si>
  <si>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</si>
  <si>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</si>
  <si>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</si>
  <si>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</si>
  <si>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</si>
  <si>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</si>
  <si>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</si>
  <si>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</si>
  <si>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</si>
  <si>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</si>
  <si>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</si>
  <si>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</si>
  <si>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</si>
  <si>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</si>
  <si>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</si>
  <si>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</si>
  <si>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</si>
  <si>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</si>
  <si>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</si>
  <si>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</si>
  <si>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</si>
  <si>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</si>
  <si>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</si>
  <si>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</si>
  <si>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</si>
  <si>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</si>
  <si>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</si>
  <si>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</si>
  <si>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</si>
  <si>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</si>
  <si>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</si>
  <si>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</si>
  <si>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</si>
  <si>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</si>
  <si>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</si>
  <si>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</si>
  <si>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</si>
  <si>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</si>
  <si>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</si>
  <si>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</si>
  <si>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</si>
  <si>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</si>
  <si>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</si>
  <si>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</si>
  <si>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</si>
  <si>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</si>
  <si>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</si>
  <si>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</si>
  <si>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</si>
  <si>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</si>
  <si>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</si>
  <si>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31080</t>
  </si>
  <si>
    <t>Los Angeles-Long Beach-Anaheim, CA</t>
  </si>
  <si>
    <t>11244</t>
  </si>
  <si>
    <r>
      <t>.</t>
    </r>
    <r>
      <rPr>
        <sz val="8"/>
        <rFont val="Arial"/>
        <family val="2"/>
      </rPr>
      <t>Anaheim-Santa Ana-Irvine, CA</t>
    </r>
  </si>
  <si>
    <t>31084</t>
  </si>
  <si>
    <r>
      <t>.</t>
    </r>
    <r>
      <rPr>
        <sz val="8"/>
        <rFont val="Arial"/>
        <family val="2"/>
      </rPr>
      <t>Los Angeles-Long Beach-Glendale, CA</t>
    </r>
  </si>
  <si>
    <t>31140</t>
  </si>
  <si>
    <t>Louisville/Jefferson County, KY-IN</t>
  </si>
  <si>
    <t>31180</t>
  </si>
  <si>
    <t>Lubbock, TX</t>
  </si>
  <si>
    <t>31340</t>
  </si>
  <si>
    <t>Lynchburg, VA</t>
  </si>
  <si>
    <t>31420</t>
  </si>
  <si>
    <t>Macon, GA</t>
  </si>
  <si>
    <t>31460</t>
  </si>
  <si>
    <t>Madera, CA</t>
  </si>
  <si>
    <t>31540</t>
  </si>
  <si>
    <t>Madison, WI</t>
  </si>
  <si>
    <t>31700</t>
  </si>
  <si>
    <t>Manchester-Nashua, NH</t>
  </si>
  <si>
    <t>31740</t>
  </si>
  <si>
    <t>Manhattan, KS</t>
  </si>
  <si>
    <t>31860</t>
  </si>
  <si>
    <t>Mankato-North Mankato, MN</t>
  </si>
  <si>
    <t>31900</t>
  </si>
  <si>
    <t>Mansfield, OH</t>
  </si>
  <si>
    <t>32580</t>
  </si>
  <si>
    <t>McAllen-Edinburg-Mission, TX</t>
  </si>
  <si>
    <t>32780</t>
  </si>
  <si>
    <t>Medford, OR</t>
  </si>
  <si>
    <t>32820</t>
  </si>
  <si>
    <t>Memphis, TN-MS-AR</t>
  </si>
  <si>
    <t>32900</t>
  </si>
  <si>
    <t>Merced, CA</t>
  </si>
  <si>
    <t>33100</t>
  </si>
  <si>
    <t>Miami-Fort Lauderdale-West Palm Beach, FL</t>
  </si>
  <si>
    <t>22744</t>
  </si>
  <si>
    <r>
      <t>.</t>
    </r>
    <r>
      <rPr>
        <sz val="8"/>
        <rFont val="Arial"/>
        <family val="2"/>
      </rPr>
      <t>Fort Lauderdale-Pompano Beach-Deerfield Beach, FL</t>
    </r>
  </si>
  <si>
    <t>33124</t>
  </si>
  <si>
    <r>
      <t>.</t>
    </r>
    <r>
      <rPr>
        <sz val="8"/>
        <rFont val="Arial"/>
        <family val="2"/>
      </rPr>
      <t>Miami-Miami Beach-Kendall, FL</t>
    </r>
  </si>
  <si>
    <t>48424</t>
  </si>
  <si>
    <r>
      <t>.</t>
    </r>
    <r>
      <rPr>
        <sz val="8"/>
        <rFont val="Arial"/>
        <family val="2"/>
      </rPr>
      <t>West Palm Beach-Boca Raton-Delray Beach, FL</t>
    </r>
  </si>
  <si>
    <t>33140</t>
  </si>
  <si>
    <t>Michigan City-La Porte, IN</t>
  </si>
  <si>
    <t>33220</t>
  </si>
  <si>
    <t>Midland, MI</t>
  </si>
  <si>
    <t>33260</t>
  </si>
  <si>
    <t>Midland, TX</t>
  </si>
  <si>
    <t>33340</t>
  </si>
  <si>
    <t>Milwaukee-Waukesha-West Allis, WI</t>
  </si>
  <si>
    <t>33460</t>
  </si>
  <si>
    <t>Minneapolis-St. Paul-Bloomington, MN-WI</t>
  </si>
  <si>
    <t>33540</t>
  </si>
  <si>
    <t>Missoula, MT</t>
  </si>
  <si>
    <t>33660</t>
  </si>
  <si>
    <t>Mobile, AL</t>
  </si>
  <si>
    <t>33700</t>
  </si>
  <si>
    <t>Modesto, CA</t>
  </si>
  <si>
    <t>33740</t>
  </si>
  <si>
    <t>Monroe, LA</t>
  </si>
  <si>
    <t>33780</t>
  </si>
  <si>
    <t>Monroe, MI</t>
  </si>
  <si>
    <t>33860</t>
  </si>
  <si>
    <t>Montgomery, AL</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</si>
  <si>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</si>
  <si>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</si>
  <si>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</si>
  <si>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</si>
  <si>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</si>
  <si>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</si>
  <si>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</si>
  <si>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</si>
  <si>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</si>
  <si>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</si>
  <si>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</si>
  <si>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</si>
  <si>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</si>
  <si>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</si>
  <si>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</si>
  <si>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Naples-Immokalee-Marco Island, FL</t>
  </si>
  <si>
    <t>34980</t>
  </si>
  <si>
    <t>Nashville-Davidson--Murfreesboro--Franklin, TN</t>
  </si>
  <si>
    <t>35100</t>
  </si>
  <si>
    <t>New Bern, NC</t>
  </si>
  <si>
    <t>35300</t>
  </si>
  <si>
    <t>New Haven-Milford, CT</t>
  </si>
  <si>
    <t>35380</t>
  </si>
  <si>
    <t>New Orleans-Metairie, LA</t>
  </si>
  <si>
    <t>35620</t>
  </si>
  <si>
    <t>New York-Newark-Jersey City, NY-NJ-PA</t>
  </si>
  <si>
    <t>20524</t>
  </si>
  <si>
    <r>
      <t>.</t>
    </r>
    <r>
      <rPr>
        <sz val="8"/>
        <rFont val="Arial"/>
        <family val="2"/>
      </rPr>
      <t>Dutchess County-Putnam County, NY</t>
    </r>
  </si>
  <si>
    <t>35004</t>
  </si>
  <si>
    <r>
      <t>.</t>
    </r>
    <r>
      <rPr>
        <sz val="8"/>
        <rFont val="Arial"/>
        <family val="2"/>
      </rPr>
      <t>Nassau County-Suffolk County, NY</t>
    </r>
  </si>
  <si>
    <t>35084</t>
  </si>
  <si>
    <r>
      <t>.</t>
    </r>
    <r>
      <rPr>
        <sz val="8"/>
        <rFont val="Arial"/>
        <family val="2"/>
      </rPr>
      <t>Newark, NJ-PA</t>
    </r>
  </si>
  <si>
    <t>35614</t>
  </si>
  <si>
    <r>
      <t>.</t>
    </r>
    <r>
      <rPr>
        <sz val="8"/>
        <rFont val="Arial"/>
        <family val="2"/>
      </rPr>
      <t>New York-Jersey City-White Plains, NY-NJ</t>
    </r>
  </si>
  <si>
    <t>35660</t>
  </si>
  <si>
    <t>Niles-Benton Harbor, MI</t>
  </si>
  <si>
    <t>35840</t>
  </si>
  <si>
    <t>North Port-Sarasota-Bradenton, FL</t>
  </si>
  <si>
    <t>35980</t>
  </si>
  <si>
    <t>Norwich-New London, CT</t>
  </si>
  <si>
    <t>36100</t>
  </si>
  <si>
    <t>Ocala, FL</t>
  </si>
  <si>
    <t>36140</t>
  </si>
  <si>
    <t>Ocean City, NJ</t>
  </si>
  <si>
    <t>36220</t>
  </si>
  <si>
    <t>Odessa, TX</t>
  </si>
  <si>
    <t>36260</t>
  </si>
  <si>
    <t>Ogden-Clearfield, UT</t>
  </si>
  <si>
    <t>36420</t>
  </si>
  <si>
    <t>Oklahoma City, OK</t>
  </si>
  <si>
    <t>36500</t>
  </si>
  <si>
    <t>Olympia-Tumwater, WA</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</si>
  <si>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</si>
  <si>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</si>
  <si>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</si>
  <si>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</si>
  <si>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</si>
  <si>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</si>
  <si>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</si>
  <si>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</si>
  <si>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</si>
  <si>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</si>
  <si>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</si>
  <si>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</si>
  <si>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</si>
  <si>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</si>
  <si>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</si>
  <si>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</si>
  <si>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</si>
  <si>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</si>
  <si>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</si>
  <si>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</si>
  <si>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37980</t>
  </si>
  <si>
    <t>Philadelphia-Camden-Wilmington, PA-NJ-DE-MD</t>
  </si>
  <si>
    <t>15804</t>
  </si>
  <si>
    <r>
      <t>.</t>
    </r>
    <r>
      <rPr>
        <sz val="8"/>
        <rFont val="Arial"/>
        <family val="2"/>
      </rPr>
      <t>Camden, NJ</t>
    </r>
  </si>
  <si>
    <t>33874</t>
  </si>
  <si>
    <r>
      <t>.</t>
    </r>
    <r>
      <rPr>
        <sz val="8"/>
        <rFont val="Arial"/>
        <family val="2"/>
      </rPr>
      <t>Montgomery County-Bucks County-Chester County, PA</t>
    </r>
  </si>
  <si>
    <t>37964</t>
  </si>
  <si>
    <r>
      <t>.</t>
    </r>
    <r>
      <rPr>
        <sz val="8"/>
        <rFont val="Arial"/>
        <family val="2"/>
      </rPr>
      <t>Philadelphia, PA</t>
    </r>
  </si>
  <si>
    <t>48864</t>
  </si>
  <si>
    <r>
      <t>.</t>
    </r>
    <r>
      <rPr>
        <sz val="8"/>
        <rFont val="Arial"/>
        <family val="2"/>
      </rPr>
      <t>Wilmington, DE-MD-NJ</t>
    </r>
  </si>
  <si>
    <t>38060</t>
  </si>
  <si>
    <t>Phoenix-Mesa-Scottsdale, AZ</t>
  </si>
  <si>
    <t>38220</t>
  </si>
  <si>
    <t>Pine Bluff, AR</t>
  </si>
  <si>
    <t>38300</t>
  </si>
  <si>
    <t>Pittsburgh, PA</t>
  </si>
  <si>
    <t>38340</t>
  </si>
  <si>
    <t>Pittsfield, MA</t>
  </si>
  <si>
    <t>38540</t>
  </si>
  <si>
    <t>Pocatello, ID</t>
  </si>
  <si>
    <t>38860</t>
  </si>
  <si>
    <t>Portland-South Portland, ME</t>
  </si>
  <si>
    <t>38900</t>
  </si>
  <si>
    <t>Portland-Vancouver-Hillsboro, OR-WA</t>
  </si>
  <si>
    <t>38940</t>
  </si>
  <si>
    <t>Port St. Lucie, FL</t>
  </si>
  <si>
    <t>39140</t>
  </si>
  <si>
    <t>Prescott, AZ</t>
  </si>
  <si>
    <t>39300</t>
  </si>
  <si>
    <t>Providence-Warwick, RI-MA</t>
  </si>
  <si>
    <t>39340</t>
  </si>
  <si>
    <t>Provo-Orem, UT</t>
  </si>
  <si>
    <t>39380</t>
  </si>
  <si>
    <t>Pueblo, CO</t>
  </si>
  <si>
    <t>39460</t>
  </si>
  <si>
    <t>Punta Gorda, FL</t>
  </si>
  <si>
    <t>39540</t>
  </si>
  <si>
    <t>Racine, WI</t>
  </si>
  <si>
    <t>39580</t>
  </si>
  <si>
    <t>Raleigh, NC</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</si>
  <si>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</si>
  <si>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</si>
  <si>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</si>
  <si>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</si>
  <si>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</si>
  <si>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</si>
  <si>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</si>
  <si>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</si>
  <si>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</si>
  <si>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</si>
  <si>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</si>
  <si>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</si>
  <si>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</si>
  <si>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</si>
  <si>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</si>
  <si>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</si>
  <si>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</si>
  <si>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</si>
  <si>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</si>
  <si>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</si>
  <si>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40580</t>
  </si>
  <si>
    <t>Rocky Mount, NC</t>
  </si>
  <si>
    <t>40660</t>
  </si>
  <si>
    <t>Rome, GA</t>
  </si>
  <si>
    <t>40900</t>
  </si>
  <si>
    <t>Sacramento--Roseville--Arden-Arcade, CA</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</si>
  <si>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</si>
  <si>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</si>
  <si>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</si>
  <si>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</si>
  <si>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</si>
  <si>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</si>
  <si>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</si>
  <si>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</si>
  <si>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</si>
  <si>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</si>
  <si>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</si>
  <si>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</si>
  <si>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</si>
  <si>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</si>
  <si>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</si>
  <si>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</si>
  <si>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</si>
  <si>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</si>
  <si>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</si>
  <si>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</si>
  <si>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</si>
  <si>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</si>
  <si>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</si>
  <si>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San Diego-Carlsbad, CA</t>
  </si>
  <si>
    <t>41860</t>
  </si>
  <si>
    <t>San Francisco-Oakland-Hayward, CA</t>
  </si>
  <si>
    <t>36084</t>
  </si>
  <si>
    <r>
      <t>.</t>
    </r>
    <r>
      <rPr>
        <sz val="8"/>
        <rFont val="Arial"/>
        <family val="2"/>
      </rPr>
      <t>Oakland-Hayward-Berkeley, CA</t>
    </r>
  </si>
  <si>
    <t>41884</t>
  </si>
  <si>
    <r>
      <t>.</t>
    </r>
    <r>
      <rPr>
        <sz val="8"/>
        <rFont val="Arial"/>
        <family val="2"/>
      </rPr>
      <t>San Francisco-Redwood City-South San Francisco, CA</t>
    </r>
  </si>
  <si>
    <t>42034</t>
  </si>
  <si>
    <r>
      <t>.</t>
    </r>
    <r>
      <rPr>
        <sz val="8"/>
        <rFont val="Arial"/>
        <family val="2"/>
      </rPr>
      <t>San Rafael, CA</t>
    </r>
  </si>
  <si>
    <t>41940</t>
  </si>
  <si>
    <t>San Jose-Sunnyvale-Santa Clara, CA</t>
  </si>
  <si>
    <t>42020</t>
  </si>
  <si>
    <t>San Luis Obispo-Paso Robles-Arroyo Grande, CA</t>
  </si>
  <si>
    <t>42100</t>
  </si>
  <si>
    <t>Santa Cruz-Watsonville, CA</t>
  </si>
  <si>
    <t>42140</t>
  </si>
  <si>
    <t>Santa Fe, NM</t>
  </si>
  <si>
    <t>42200</t>
  </si>
  <si>
    <t>Santa Maria-Santa Barbara, CA</t>
  </si>
  <si>
    <t>42220</t>
  </si>
  <si>
    <t>Santa Rosa, CA</t>
  </si>
  <si>
    <t>42340</t>
  </si>
  <si>
    <t>Savannah, GA</t>
  </si>
  <si>
    <t>42540</t>
  </si>
  <si>
    <t>Scranton--Wilkes-Barre--Hazleton, PA</t>
  </si>
  <si>
    <t>42660</t>
  </si>
  <si>
    <t>Seattle-Tacoma-Bellevue, WA</t>
  </si>
  <si>
    <t>42644</t>
  </si>
  <si>
    <r>
      <t>.</t>
    </r>
    <r>
      <rPr>
        <sz val="8"/>
        <rFont val="Arial"/>
        <family val="2"/>
      </rPr>
      <t>Seattle-Bellevue-Everett, WA</t>
    </r>
  </si>
  <si>
    <t>45104</t>
  </si>
  <si>
    <r>
      <t>.</t>
    </r>
    <r>
      <rPr>
        <sz val="8"/>
        <rFont val="Arial"/>
        <family val="2"/>
      </rPr>
      <t>Tacoma-Lakewood, WA</t>
    </r>
  </si>
  <si>
    <t>42680</t>
  </si>
  <si>
    <t>Sebastian-Vero Beach, FL</t>
  </si>
  <si>
    <t>42700</t>
  </si>
  <si>
    <t>Sebring, FL</t>
  </si>
  <si>
    <t>43100</t>
  </si>
  <si>
    <t>Sheboygan, WI</t>
  </si>
  <si>
    <t>43300</t>
  </si>
  <si>
    <t>Sherman-Denison, TX</t>
  </si>
  <si>
    <t>43340</t>
  </si>
  <si>
    <t>Shreveport-Bossier City, LA</t>
  </si>
  <si>
    <t>43420</t>
  </si>
  <si>
    <t>Sierra Vista-Douglas, AZ</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</si>
  <si>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</si>
  <si>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</si>
  <si>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</si>
  <si>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</si>
  <si>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</si>
  <si>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</si>
  <si>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</si>
  <si>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</si>
  <si>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</si>
  <si>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</si>
  <si>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</si>
  <si>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</si>
  <si>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</si>
  <si>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</si>
  <si>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</si>
  <si>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</si>
  <si>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</si>
  <si>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</si>
  <si>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</si>
  <si>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</si>
  <si>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</si>
  <si>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Staunton-Waynesboro, VA</t>
  </si>
  <si>
    <t>44700</t>
  </si>
  <si>
    <t>Stockton-Lodi, CA</t>
  </si>
  <si>
    <t>44940</t>
  </si>
  <si>
    <t>Sumter, SC</t>
  </si>
  <si>
    <t>45060</t>
  </si>
  <si>
    <t>Syracuse, NY</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</si>
  <si>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</si>
  <si>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</si>
  <si>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</si>
  <si>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</si>
  <si>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</si>
  <si>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</si>
  <si>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</si>
  <si>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</si>
  <si>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</si>
  <si>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</si>
  <si>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</si>
  <si>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</si>
  <si>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</si>
  <si>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</si>
  <si>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</si>
  <si>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Trenton, NJ</t>
  </si>
  <si>
    <t>46060</t>
  </si>
  <si>
    <t>Tucson, AZ</t>
  </si>
  <si>
    <t>46140</t>
  </si>
  <si>
    <t>Tulsa, OK</t>
  </si>
  <si>
    <t>46220</t>
  </si>
  <si>
    <t>Tuscaloosa, AL</t>
  </si>
  <si>
    <t>46340</t>
  </si>
  <si>
    <t>Tyler, TX</t>
  </si>
  <si>
    <t>46520</t>
  </si>
  <si>
    <t>Urban Honolulu, HI</t>
  </si>
  <si>
    <t>46540</t>
  </si>
  <si>
    <t>Utica-Rome, NY</t>
  </si>
  <si>
    <t>46660</t>
  </si>
  <si>
    <t>Valdosta, GA</t>
  </si>
  <si>
    <t>46700</t>
  </si>
  <si>
    <t>Vallejo-Fairfield, CA</t>
  </si>
  <si>
    <t>47020</t>
  </si>
  <si>
    <t>Victoria, TX</t>
  </si>
  <si>
    <t>47220</t>
  </si>
  <si>
    <t>Vineland-Bridgeton, NJ</t>
  </si>
  <si>
    <t>47260</t>
  </si>
  <si>
    <t>Virginia Beach-Norfolk-Newport News, VA-NC</t>
  </si>
  <si>
    <t>47300</t>
  </si>
  <si>
    <t>Visalia-Porterville, CA</t>
  </si>
  <si>
    <t>47380</t>
  </si>
  <si>
    <t>Waco, TX</t>
  </si>
  <si>
    <t>47460</t>
  </si>
  <si>
    <t>Walla Walla, WA</t>
  </si>
  <si>
    <t>47580</t>
  </si>
  <si>
    <t>Warner Robins, GA</t>
  </si>
  <si>
    <t>47900</t>
  </si>
  <si>
    <t>Washington-Arlington-Alexandria, DC-VA-MD-WV</t>
  </si>
  <si>
    <t>43524</t>
  </si>
  <si>
    <r>
      <t>.</t>
    </r>
    <r>
      <rPr>
        <sz val="8"/>
        <rFont val="Arial"/>
        <family val="2"/>
      </rPr>
      <t>Silver Spring-Frederick-Rockville, MD</t>
    </r>
  </si>
  <si>
    <t>47894</t>
  </si>
  <si>
    <r>
      <t>.</t>
    </r>
    <r>
      <rPr>
        <sz val="8"/>
        <rFont val="Arial"/>
        <family val="2"/>
      </rPr>
      <t>Washington-Arlington-Alexandria, DC-VA-MD-WV</t>
    </r>
  </si>
  <si>
    <t>47940</t>
  </si>
  <si>
    <t>Waterloo-Cedar Falls, IA</t>
  </si>
  <si>
    <t>48060</t>
  </si>
  <si>
    <t>Watertown-Fort Drum, NY</t>
  </si>
  <si>
    <t>48140</t>
  </si>
  <si>
    <t>Wausau, WI</t>
  </si>
  <si>
    <t>48260</t>
  </si>
  <si>
    <t>Weirton-Steubenville, WV-OH</t>
  </si>
  <si>
    <t>48300</t>
  </si>
  <si>
    <t>Wenatchee, WA</t>
  </si>
  <si>
    <t>48540</t>
  </si>
  <si>
    <t>Wheeling, WV-OH</t>
  </si>
  <si>
    <t>48620</t>
  </si>
  <si>
    <t>Wichita, KS</t>
  </si>
  <si>
    <t>48660</t>
  </si>
  <si>
    <t>Wichita Falls, TX</t>
  </si>
  <si>
    <t>48700</t>
  </si>
  <si>
    <t>Williamsport, PA</t>
  </si>
  <si>
    <t>48900</t>
  </si>
  <si>
    <t>Wilmington, NC</t>
  </si>
  <si>
    <t>49020</t>
  </si>
  <si>
    <t>Winchester, VA-WV</t>
  </si>
  <si>
    <t>49180</t>
  </si>
  <si>
    <t>Winston-Salem, NC</t>
  </si>
  <si>
    <t>49340</t>
  </si>
  <si>
    <t>Worcester, MA-CT</t>
  </si>
  <si>
    <t>49420</t>
  </si>
  <si>
    <t>Yakima, WA</t>
  </si>
  <si>
    <t>49620</t>
  </si>
  <si>
    <t>York-Hanover, PA</t>
  </si>
  <si>
    <t>49660</t>
  </si>
  <si>
    <t>Youngstown-Warren-Boardman, OH-PA</t>
  </si>
  <si>
    <t>49700</t>
  </si>
  <si>
    <t>Yuba City, CA</t>
  </si>
  <si>
    <t>49740</t>
  </si>
  <si>
    <t>Yuma, AZ</t>
  </si>
  <si>
    <t>Micropolitan statistical areas</t>
  </si>
  <si>
    <t>10100</t>
  </si>
  <si>
    <t>Aberdeen, SD</t>
  </si>
  <si>
    <t>10140</t>
  </si>
  <si>
    <t>Aberdeen, WA</t>
  </si>
  <si>
    <t>10220</t>
  </si>
  <si>
    <t>Ada, OK</t>
  </si>
  <si>
    <t>10300</t>
  </si>
  <si>
    <t>Adrian, MI</t>
  </si>
  <si>
    <t>10460</t>
  </si>
  <si>
    <t>Alamogordo, NM</t>
  </si>
  <si>
    <t>10620</t>
  </si>
  <si>
    <t>Albemarle, NC</t>
  </si>
  <si>
    <t>10660</t>
  </si>
  <si>
    <t>Albert Lea, MN</t>
  </si>
  <si>
    <t>10700</t>
  </si>
  <si>
    <t>Albertville, AL</t>
  </si>
  <si>
    <t>10820</t>
  </si>
  <si>
    <t>Alexandria, MN</t>
  </si>
  <si>
    <t>10860</t>
  </si>
  <si>
    <t>Alice, TX</t>
  </si>
  <si>
    <t>10940</t>
  </si>
  <si>
    <t>Alma, MI</t>
  </si>
  <si>
    <t>10980</t>
  </si>
  <si>
    <t>Alpena, MI</t>
  </si>
  <si>
    <t>11060</t>
  </si>
  <si>
    <t>Altus, OK</t>
  </si>
  <si>
    <t>11140</t>
  </si>
  <si>
    <t>Americus, GA</t>
  </si>
  <si>
    <t>11220</t>
  </si>
  <si>
    <t>Amsterdam, NY</t>
  </si>
  <si>
    <t>11380</t>
  </si>
  <si>
    <t>Andrews, TX</t>
  </si>
  <si>
    <t>11420</t>
  </si>
  <si>
    <t>Angola, IN</t>
  </si>
  <si>
    <t>11580</t>
  </si>
  <si>
    <t>Arcadia, FL</t>
  </si>
  <si>
    <t>11620</t>
  </si>
  <si>
    <t>Ardmore, OK</t>
  </si>
  <si>
    <t>11660</t>
  </si>
  <si>
    <t>Arkadelphia, AR</t>
  </si>
  <si>
    <t>11680</t>
  </si>
  <si>
    <t>Arkansas City-Winfield, KS</t>
  </si>
  <si>
    <t>11740</t>
  </si>
  <si>
    <t>Ashland, OH</t>
  </si>
  <si>
    <t>11780</t>
  </si>
  <si>
    <t>Ashtabula, OH</t>
  </si>
  <si>
    <t>11820</t>
  </si>
  <si>
    <t>Astoria, OR</t>
  </si>
  <si>
    <t>11860</t>
  </si>
  <si>
    <t>Atchison, KS</t>
  </si>
  <si>
    <t>11900</t>
  </si>
  <si>
    <t>Athens, OH</t>
  </si>
  <si>
    <t>11940</t>
  </si>
  <si>
    <t>Athens, TN</t>
  </si>
  <si>
    <t>11980</t>
  </si>
  <si>
    <t>Athens, TX</t>
  </si>
  <si>
    <t>12140</t>
  </si>
  <si>
    <t>Auburn, IN</t>
  </si>
  <si>
    <t>12180</t>
  </si>
  <si>
    <t>Auburn, NY</t>
  </si>
  <si>
    <t>12300</t>
  </si>
  <si>
    <t>Augusta-Waterville, ME</t>
  </si>
  <si>
    <t>12380</t>
  </si>
  <si>
    <t>Austin, MN</t>
  </si>
  <si>
    <t>12460</t>
  </si>
  <si>
    <t>Bainbridge, GA</t>
  </si>
  <si>
    <t>12660</t>
  </si>
  <si>
    <t>Baraboo, WI</t>
  </si>
  <si>
    <t>12680</t>
  </si>
  <si>
    <t>Bardstown, KY</t>
  </si>
  <si>
    <t>12740</t>
  </si>
  <si>
    <t>Barre, VT</t>
  </si>
  <si>
    <t>12780</t>
  </si>
  <si>
    <t>Bartlesville, OK</t>
  </si>
  <si>
    <t>12820</t>
  </si>
  <si>
    <t>Bastrop, LA</t>
  </si>
  <si>
    <t>12860</t>
  </si>
  <si>
    <t>Batavia, NY</t>
  </si>
  <si>
    <t>12900</t>
  </si>
  <si>
    <t>Batesville, AR</t>
  </si>
  <si>
    <t>13060</t>
  </si>
  <si>
    <t>Bay City, TX</t>
  </si>
  <si>
    <t>13100</t>
  </si>
  <si>
    <t>Beatrice, NE</t>
  </si>
  <si>
    <t>13180</t>
  </si>
  <si>
    <t>Beaver Dam, WI</t>
  </si>
  <si>
    <t>13260</t>
  </si>
  <si>
    <t>Bedford, IN</t>
  </si>
  <si>
    <t>13300</t>
  </si>
  <si>
    <t>Beeville, TX</t>
  </si>
  <si>
    <t>13340</t>
  </si>
  <si>
    <t>Bellefontaine, OH</t>
  </si>
  <si>
    <t>13420</t>
  </si>
  <si>
    <t>Bemidji, MN</t>
  </si>
  <si>
    <t>13500</t>
  </si>
  <si>
    <t>Bennettsville, SC</t>
  </si>
  <si>
    <t>13540</t>
  </si>
  <si>
    <t>Bennington, VT</t>
  </si>
  <si>
    <t>13620</t>
  </si>
  <si>
    <t>Berlin, NH-VT</t>
  </si>
  <si>
    <t>13660</t>
  </si>
  <si>
    <t>Big Rapids, MI</t>
  </si>
  <si>
    <t>13700</t>
  </si>
  <si>
    <t>Big Spring, TX</t>
  </si>
  <si>
    <t>13720</t>
  </si>
  <si>
    <t>Big Stone Gap, VA</t>
  </si>
  <si>
    <t>13940</t>
  </si>
  <si>
    <t>Blackfoot, ID</t>
  </si>
  <si>
    <t>14140</t>
  </si>
  <si>
    <t>Bluefield, WV-VA</t>
  </si>
  <si>
    <t>14180</t>
  </si>
  <si>
    <t>Blytheville, AR</t>
  </si>
  <si>
    <t>14220</t>
  </si>
  <si>
    <t>Bogalusa, LA</t>
  </si>
  <si>
    <t>14340</t>
  </si>
  <si>
    <t>Boone, IA</t>
  </si>
  <si>
    <t>14380</t>
  </si>
  <si>
    <t>Boone, NC</t>
  </si>
  <si>
    <t>14420</t>
  </si>
  <si>
    <t>Borger, TX</t>
  </si>
  <si>
    <t>14580</t>
  </si>
  <si>
    <t>Bozeman, MT</t>
  </si>
  <si>
    <t>14620</t>
  </si>
  <si>
    <t>Bradford, PA</t>
  </si>
  <si>
    <t>14660</t>
  </si>
  <si>
    <t>Brainerd, MN</t>
  </si>
  <si>
    <t>14700</t>
  </si>
  <si>
    <t>Branson, MO</t>
  </si>
  <si>
    <t>14720</t>
  </si>
  <si>
    <t>Breckenridge, CO</t>
  </si>
  <si>
    <t>14780</t>
  </si>
  <si>
    <t>Brenham, TX</t>
  </si>
  <si>
    <t>14820</t>
  </si>
  <si>
    <t>Brevard, NC</t>
  </si>
  <si>
    <t>15020</t>
  </si>
  <si>
    <t>Brookhaven, MS</t>
  </si>
  <si>
    <t>15060</t>
  </si>
  <si>
    <t>Brookings, OR</t>
  </si>
  <si>
    <t>15100</t>
  </si>
  <si>
    <t>Brookings, SD</t>
  </si>
  <si>
    <t>15220</t>
  </si>
  <si>
    <t>Brownwood, TX</t>
  </si>
  <si>
    <t>15340</t>
  </si>
  <si>
    <t>Bucyrus, OH</t>
  </si>
  <si>
    <t>15420</t>
  </si>
  <si>
    <t>Burley, ID</t>
  </si>
  <si>
    <t>15460</t>
  </si>
  <si>
    <t>Burlington, IA-IL</t>
  </si>
  <si>
    <t>15580</t>
  </si>
  <si>
    <t>Butte-Silver Bow, MT</t>
  </si>
  <si>
    <t>15620</t>
  </si>
  <si>
    <t>Cadillac, MI</t>
  </si>
  <si>
    <t>15660</t>
  </si>
  <si>
    <t>Calhoun, GA</t>
  </si>
  <si>
    <t>15700</t>
  </si>
  <si>
    <t>Cambridge, MD</t>
  </si>
  <si>
    <t>15740</t>
  </si>
  <si>
    <t>Cambridge, OH</t>
  </si>
  <si>
    <t>15780</t>
  </si>
  <si>
    <t>Camden, AR</t>
  </si>
  <si>
    <t>15820</t>
  </si>
  <si>
    <t>Campbellsville, KY</t>
  </si>
  <si>
    <t>15860</t>
  </si>
  <si>
    <t>Cañon City, CO</t>
  </si>
  <si>
    <t>15900</t>
  </si>
  <si>
    <t>Canton, IL</t>
  </si>
  <si>
    <t>16100</t>
  </si>
  <si>
    <t>Carlsbad-Artesia, NM</t>
  </si>
  <si>
    <t>16260</t>
  </si>
  <si>
    <t>Cedar City, UT</t>
  </si>
  <si>
    <t>16340</t>
  </si>
  <si>
    <t>Cedartown, GA</t>
  </si>
  <si>
    <t>16380</t>
  </si>
  <si>
    <t>Celina, OH</t>
  </si>
  <si>
    <t>16460</t>
  </si>
  <si>
    <t>Centralia, IL</t>
  </si>
  <si>
    <t>16500</t>
  </si>
  <si>
    <t>Centralia, WA</t>
  </si>
  <si>
    <t>16660</t>
  </si>
  <si>
    <t>Charleston-Mattoon, IL</t>
  </si>
  <si>
    <t>17060</t>
  </si>
  <si>
    <t>Chillicothe, OH</t>
  </si>
  <si>
    <t>17200</t>
  </si>
  <si>
    <t>Claremont-Lebanon, NH-VT</t>
  </si>
  <si>
    <t>17220</t>
  </si>
  <si>
    <t>Clarksburg, WV</t>
  </si>
  <si>
    <t>17260</t>
  </si>
  <si>
    <t>Clarksdale, MS</t>
  </si>
  <si>
    <t>17340</t>
  </si>
  <si>
    <t>Clearlake, CA</t>
  </si>
  <si>
    <t>17380</t>
  </si>
  <si>
    <t>Cleveland, MS</t>
  </si>
  <si>
    <t>17500</t>
  </si>
  <si>
    <t>Clewiston, FL</t>
  </si>
  <si>
    <t>17540</t>
  </si>
  <si>
    <t>Clinton, IA</t>
  </si>
  <si>
    <t>17580</t>
  </si>
  <si>
    <t>Clovis, NM</t>
  </si>
  <si>
    <t>17700</t>
  </si>
  <si>
    <t>Coffeyville, KS</t>
  </si>
  <si>
    <t>17740</t>
  </si>
  <si>
    <t>Coldwater, MI</t>
  </si>
  <si>
    <t>18060</t>
  </si>
  <si>
    <t>Columbus, MS</t>
  </si>
  <si>
    <t>18100</t>
  </si>
  <si>
    <t>Columbus, NE</t>
  </si>
  <si>
    <t>18180</t>
  </si>
  <si>
    <t>Concord, NH</t>
  </si>
  <si>
    <t>18220</t>
  </si>
  <si>
    <t>Connersville, IN</t>
  </si>
  <si>
    <t>18260</t>
  </si>
  <si>
    <t>Cookeville, TN</t>
  </si>
  <si>
    <t>18300</t>
  </si>
  <si>
    <t>Coos Bay, OR</t>
  </si>
  <si>
    <t>18380</t>
  </si>
  <si>
    <t>Cordele, GA</t>
  </si>
  <si>
    <t>18420</t>
  </si>
  <si>
    <t>Corinth, MS</t>
  </si>
  <si>
    <t>18460</t>
  </si>
  <si>
    <t>Cornelia, GA</t>
  </si>
  <si>
    <t>18500</t>
  </si>
  <si>
    <t>Corning, NY</t>
  </si>
  <si>
    <t>18620</t>
  </si>
  <si>
    <t>Corsicana, TX</t>
  </si>
  <si>
    <t>18660</t>
  </si>
  <si>
    <t>Cortland, NY</t>
  </si>
  <si>
    <t>18740</t>
  </si>
  <si>
    <t>Coshocton, OH</t>
  </si>
  <si>
    <t>18780</t>
  </si>
  <si>
    <t>Craig, CO</t>
  </si>
  <si>
    <t>18820</t>
  </si>
  <si>
    <t>Crawfordsville, IN</t>
  </si>
  <si>
    <t>18860</t>
  </si>
  <si>
    <t>Crescent City, CA</t>
  </si>
  <si>
    <t>18900</t>
  </si>
  <si>
    <t>Crossville, TN</t>
  </si>
  <si>
    <t>18980</t>
  </si>
  <si>
    <t>Cullman, AL</t>
  </si>
  <si>
    <t>19000</t>
  </si>
  <si>
    <t>Cullowhee, NC</t>
  </si>
  <si>
    <t>19220</t>
  </si>
  <si>
    <t>Danville, KY</t>
  </si>
  <si>
    <t>19260</t>
  </si>
  <si>
    <t>Danville, VA</t>
  </si>
  <si>
    <t>19420</t>
  </si>
  <si>
    <t>Dayton, TN</t>
  </si>
  <si>
    <t>19540</t>
  </si>
  <si>
    <t>Decatur, IN</t>
  </si>
  <si>
    <t>19580</t>
  </si>
  <si>
    <t>Defiance, OH</t>
  </si>
  <si>
    <t>19620</t>
  </si>
  <si>
    <t>Del Rio, TX</t>
  </si>
  <si>
    <t>19700</t>
  </si>
  <si>
    <t>Deming, NM</t>
  </si>
  <si>
    <t>19760</t>
  </si>
  <si>
    <t>DeRidder, LA</t>
  </si>
  <si>
    <t>19860</t>
  </si>
  <si>
    <t>Dickinson, ND</t>
  </si>
  <si>
    <t>19940</t>
  </si>
  <si>
    <t>Dixon, IL</t>
  </si>
  <si>
    <t>19980</t>
  </si>
  <si>
    <t>Dodge City, KS</t>
  </si>
  <si>
    <t>20060</t>
  </si>
  <si>
    <t>Douglas, GA</t>
  </si>
  <si>
    <t>20140</t>
  </si>
  <si>
    <t>Dublin, GA</t>
  </si>
  <si>
    <t>20180</t>
  </si>
  <si>
    <t>DuBois, PA</t>
  </si>
  <si>
    <t>20300</t>
  </si>
  <si>
    <t>Dumas, TX</t>
  </si>
  <si>
    <t>20340</t>
  </si>
  <si>
    <t>Duncan, OK</t>
  </si>
  <si>
    <t>20380</t>
  </si>
  <si>
    <t>Dunn, NC</t>
  </si>
  <si>
    <t>20420</t>
  </si>
  <si>
    <t>Durango, CO</t>
  </si>
  <si>
    <t>20460</t>
  </si>
  <si>
    <t>Durant, OK</t>
  </si>
  <si>
    <t>20540</t>
  </si>
  <si>
    <t>Dyersburg, TN</t>
  </si>
  <si>
    <t>20580</t>
  </si>
  <si>
    <t>Eagle Pass, TX</t>
  </si>
  <si>
    <t>20660</t>
  </si>
  <si>
    <t>Easton, MD</t>
  </si>
  <si>
    <t>20780</t>
  </si>
  <si>
    <t>Edwards, CO</t>
  </si>
  <si>
    <t>20820</t>
  </si>
  <si>
    <t>Effingham, IL</t>
  </si>
  <si>
    <t>20900</t>
  </si>
  <si>
    <t>El Campo, TX</t>
  </si>
  <si>
    <t>20980</t>
  </si>
  <si>
    <t>El Dorado, AR</t>
  </si>
  <si>
    <t>21020</t>
  </si>
  <si>
    <t>Elizabeth City, NC</t>
  </si>
  <si>
    <t>21120</t>
  </si>
  <si>
    <t>Elk City, OK</t>
  </si>
  <si>
    <t>21180</t>
  </si>
  <si>
    <t>Elkins, WV</t>
  </si>
  <si>
    <t>21220</t>
  </si>
  <si>
    <t>Elko, NV</t>
  </si>
  <si>
    <t>21260</t>
  </si>
  <si>
    <t>Ellensburg, WA</t>
  </si>
  <si>
    <t>21380</t>
  </si>
  <si>
    <t>Emporia, KS</t>
  </si>
  <si>
    <t>21420</t>
  </si>
  <si>
    <t>Enid, OK</t>
  </si>
  <si>
    <t>21460</t>
  </si>
  <si>
    <t>Enterprise, AL</t>
  </si>
  <si>
    <t>21540</t>
  </si>
  <si>
    <t>Escanaba, MI</t>
  </si>
  <si>
    <t>21580</t>
  </si>
  <si>
    <t>Española, NM</t>
  </si>
  <si>
    <t>21700</t>
  </si>
  <si>
    <t>Eureka-Arcata-Fortuna, CA</t>
  </si>
  <si>
    <t>21740</t>
  </si>
  <si>
    <t>Evanston, WY</t>
  </si>
  <si>
    <t>21840</t>
  </si>
  <si>
    <t>Fairfield, IA</t>
  </si>
  <si>
    <t>21900</t>
  </si>
  <si>
    <t>Fairmont, WV</t>
  </si>
  <si>
    <t>21980</t>
  </si>
  <si>
    <t>Fallon, NV</t>
  </si>
  <si>
    <t>22060</t>
  </si>
  <si>
    <t>Faribault-Northfield, MN</t>
  </si>
  <si>
    <t>22100</t>
  </si>
  <si>
    <t>Farmington, MO</t>
  </si>
  <si>
    <t>22260</t>
  </si>
  <si>
    <t>Fergus Falls, MN</t>
  </si>
  <si>
    <t>22280</t>
  </si>
  <si>
    <t>Fernley, NV</t>
  </si>
  <si>
    <t>22300</t>
  </si>
  <si>
    <t>Findlay, OH</t>
  </si>
  <si>
    <t>22340</t>
  </si>
  <si>
    <t>Fitzgerald, GA</t>
  </si>
  <si>
    <t>22580</t>
  </si>
  <si>
    <t>Forest City, NC</t>
  </si>
  <si>
    <t>22620</t>
  </si>
  <si>
    <t>Forrest City, AR</t>
  </si>
  <si>
    <t>22700</t>
  </si>
  <si>
    <t>Fort Dodge, IA</t>
  </si>
  <si>
    <t>22780</t>
  </si>
  <si>
    <t>Fort Leonard Wood, MO</t>
  </si>
  <si>
    <t>22800</t>
  </si>
  <si>
    <t>Fort Madison-Keokuk, IA-IL-MO</t>
  </si>
  <si>
    <t>22820</t>
  </si>
  <si>
    <t>Fort Morgan, CO</t>
  </si>
  <si>
    <t>22860</t>
  </si>
  <si>
    <t>Fort Polk South, LA</t>
  </si>
  <si>
    <t>23140</t>
  </si>
  <si>
    <t>Frankfort, IN</t>
  </si>
  <si>
    <t>23180</t>
  </si>
  <si>
    <t>Frankfort, KY</t>
  </si>
  <si>
    <t>23240</t>
  </si>
  <si>
    <t>Fredericksburg, TX</t>
  </si>
  <si>
    <t>23300</t>
  </si>
  <si>
    <t>Freeport, IL</t>
  </si>
  <si>
    <t>23340</t>
  </si>
  <si>
    <t>Fremont, NE</t>
  </si>
  <si>
    <t>23380</t>
  </si>
  <si>
    <t>Fremont, OH</t>
  </si>
  <si>
    <t>23500</t>
  </si>
  <si>
    <t>Gaffney, SC</t>
  </si>
  <si>
    <t>23620</t>
  </si>
  <si>
    <t>Gainesville, TX</t>
  </si>
  <si>
    <t>23660</t>
  </si>
  <si>
    <t>Galesburg, IL</t>
  </si>
  <si>
    <t>23700</t>
  </si>
  <si>
    <t>Gallup, NM</t>
  </si>
  <si>
    <t>23780</t>
  </si>
  <si>
    <t>Garden City, KS</t>
  </si>
  <si>
    <t>23820</t>
  </si>
  <si>
    <t>Gardnerville Ranchos, NV</t>
  </si>
  <si>
    <t>23860</t>
  </si>
  <si>
    <t>Georgetown, SC</t>
  </si>
  <si>
    <t>23940</t>
  </si>
  <si>
    <t>Gillette, WY</t>
  </si>
  <si>
    <t>23980</t>
  </si>
  <si>
    <t>Glasgow, KY</t>
  </si>
  <si>
    <t>24060</t>
  </si>
  <si>
    <t>Glenwood Springs, CO</t>
  </si>
  <si>
    <t>24100</t>
  </si>
  <si>
    <t>Gloversville, NY</t>
  </si>
  <si>
    <t>24380</t>
  </si>
  <si>
    <t>Grants, NM</t>
  </si>
  <si>
    <t>24460</t>
  </si>
  <si>
    <t>Great Bend, KS</t>
  </si>
  <si>
    <t>24620</t>
  </si>
  <si>
    <t>Greeneville, TN</t>
  </si>
  <si>
    <t>24640</t>
  </si>
  <si>
    <t>Greenfield Town, MA</t>
  </si>
  <si>
    <t>24700</t>
  </si>
  <si>
    <t>Greensburg, IN</t>
  </si>
  <si>
    <t>24740</t>
  </si>
  <si>
    <t>Greenville, MS</t>
  </si>
  <si>
    <t>24820</t>
  </si>
  <si>
    <t>Greenville, OH</t>
  </si>
  <si>
    <t>24900</t>
  </si>
  <si>
    <t>Greenwood, MS</t>
  </si>
  <si>
    <t>24940</t>
  </si>
  <si>
    <t>Greenwood, SC</t>
  </si>
  <si>
    <t>24980</t>
  </si>
  <si>
    <t>Grenada, MS</t>
  </si>
  <si>
    <t>25100</t>
  </si>
  <si>
    <t>Guymon, OK</t>
  </si>
  <si>
    <t>25200</t>
  </si>
  <si>
    <t>Hailey, ID</t>
  </si>
  <si>
    <t>25300</t>
  </si>
  <si>
    <t>Hannibal, MO</t>
  </si>
  <si>
    <t>25460</t>
  </si>
  <si>
    <t>Harrison, AR</t>
  </si>
  <si>
    <t>25580</t>
  </si>
  <si>
    <t>Hastings, NE</t>
  </si>
  <si>
    <t>25700</t>
  </si>
  <si>
    <t>Hays, KS</t>
  </si>
  <si>
    <t>25720</t>
  </si>
  <si>
    <t>Heber, UT</t>
  </si>
  <si>
    <t>25740</t>
  </si>
  <si>
    <t>Helena, MT</t>
  </si>
  <si>
    <t>25760</t>
  </si>
  <si>
    <t>Helena-West Helena, AR</t>
  </si>
  <si>
    <t>25780</t>
  </si>
  <si>
    <t>Henderson, NC</t>
  </si>
  <si>
    <t>25820</t>
  </si>
  <si>
    <t>Hereford, TX</t>
  </si>
  <si>
    <t>25840</t>
  </si>
  <si>
    <t>Hermiston-Pendleton, OR</t>
  </si>
  <si>
    <t>25880</t>
  </si>
  <si>
    <t>Hillsdale, MI</t>
  </si>
  <si>
    <t>25900</t>
  </si>
  <si>
    <t>Hilo, HI</t>
  </si>
  <si>
    <t>26020</t>
  </si>
  <si>
    <t>Hobbs, NM</t>
  </si>
  <si>
    <t>26090</t>
  </si>
  <si>
    <t>Holland, MI</t>
  </si>
  <si>
    <t>26220</t>
  </si>
  <si>
    <t>Hood River, OR</t>
  </si>
  <si>
    <t>26340</t>
  </si>
  <si>
    <t>Houghton, MI</t>
  </si>
  <si>
    <t>26460</t>
  </si>
  <si>
    <t>Hudson, NY</t>
  </si>
  <si>
    <t>26500</t>
  </si>
  <si>
    <t>Huntingdon, PA</t>
  </si>
  <si>
    <t>26540</t>
  </si>
  <si>
    <t>Huntington, IN</t>
  </si>
  <si>
    <t>26660</t>
  </si>
  <si>
    <t>Huntsville, TX</t>
  </si>
  <si>
    <t>26700</t>
  </si>
  <si>
    <t>Huron, SD</t>
  </si>
  <si>
    <t>26740</t>
  </si>
  <si>
    <t>Hutchinson, KS</t>
  </si>
  <si>
    <t>26780</t>
  </si>
  <si>
    <t>Hutchinson, MN</t>
  </si>
  <si>
    <t>26860</t>
  </si>
  <si>
    <t>Indiana, PA</t>
  </si>
  <si>
    <t>26940</t>
  </si>
  <si>
    <t>Indianola, MS</t>
  </si>
  <si>
    <t>26960</t>
  </si>
  <si>
    <t>Ionia, MI</t>
  </si>
  <si>
    <t>27020</t>
  </si>
  <si>
    <t>Iron Mountain, MI-WI</t>
  </si>
  <si>
    <t>27160</t>
  </si>
  <si>
    <t>Jackson, OH</t>
  </si>
  <si>
    <t>27220</t>
  </si>
  <si>
    <t>Jackson, WY-ID</t>
  </si>
  <si>
    <t>27300</t>
  </si>
  <si>
    <t>Jacksonville, IL</t>
  </si>
  <si>
    <t>27380</t>
  </si>
  <si>
    <t>Jacksonville, TX</t>
  </si>
  <si>
    <t>27420</t>
  </si>
  <si>
    <t>Jamestown, ND</t>
  </si>
  <si>
    <t>27460</t>
  </si>
  <si>
    <t>Jamestown-Dunkirk-Fredonia, NY</t>
  </si>
  <si>
    <t>27540</t>
  </si>
  <si>
    <t>Jasper, IN</t>
  </si>
  <si>
    <t>27600</t>
  </si>
  <si>
    <t>Jefferson, GA</t>
  </si>
  <si>
    <t>27700</t>
  </si>
  <si>
    <t>Jesup, GA</t>
  </si>
  <si>
    <t>27920</t>
  </si>
  <si>
    <t>Junction City, KS</t>
  </si>
  <si>
    <t>27940</t>
  </si>
  <si>
    <t>Juneau, AK</t>
  </si>
  <si>
    <t>28060</t>
  </si>
  <si>
    <t>Kalispell, MT</t>
  </si>
  <si>
    <t>28180</t>
  </si>
  <si>
    <t>Kapaa, HI</t>
  </si>
  <si>
    <t>28260</t>
  </si>
  <si>
    <t>Kearney, NE</t>
  </si>
  <si>
    <t>28300</t>
  </si>
  <si>
    <t>Keene, NH</t>
  </si>
  <si>
    <t>28340</t>
  </si>
  <si>
    <t>Kendallville, IN</t>
  </si>
  <si>
    <t>28380</t>
  </si>
  <si>
    <t>Kennett, MO</t>
  </si>
  <si>
    <t>28500</t>
  </si>
  <si>
    <t>Kerrville, TX</t>
  </si>
  <si>
    <t>28540</t>
  </si>
  <si>
    <t>Ketchikan, AK</t>
  </si>
  <si>
    <t>28580</t>
  </si>
  <si>
    <t>Key West, FL</t>
  </si>
  <si>
    <t>28620</t>
  </si>
  <si>
    <t>Kill Devil Hills, NC</t>
  </si>
  <si>
    <t>28780</t>
  </si>
  <si>
    <t>Kingsville, TX</t>
  </si>
  <si>
    <t>28820</t>
  </si>
  <si>
    <t>Kinston, NC</t>
  </si>
  <si>
    <t>28860</t>
  </si>
  <si>
    <t>Kirksville, MO</t>
  </si>
  <si>
    <t>28900</t>
  </si>
  <si>
    <t>Klamath Falls, OR</t>
  </si>
  <si>
    <t>29060</t>
  </si>
  <si>
    <t>Laconia, NH</t>
  </si>
  <si>
    <t>29260</t>
  </si>
  <si>
    <t>La Grande, OR</t>
  </si>
  <si>
    <t>29300</t>
  </si>
  <si>
    <t>LaGrange, GA</t>
  </si>
  <si>
    <t>29380</t>
  </si>
  <si>
    <t>Lake City, FL</t>
  </si>
  <si>
    <t>29500</t>
  </si>
  <si>
    <t>Lamesa, TX</t>
  </si>
  <si>
    <t>29660</t>
  </si>
  <si>
    <t>Laramie, WY</t>
  </si>
  <si>
    <t>29780</t>
  </si>
  <si>
    <t>Las Vegas, NM</t>
  </si>
  <si>
    <t>29860</t>
  </si>
  <si>
    <t>Laurel, MS</t>
  </si>
  <si>
    <t>29900</t>
  </si>
  <si>
    <t>Laurinburg, NC</t>
  </si>
  <si>
    <t>29980</t>
  </si>
  <si>
    <t>Lawrenceburg, TN</t>
  </si>
  <si>
    <t>30060</t>
  </si>
  <si>
    <t>Lebanon, MO</t>
  </si>
  <si>
    <t>30220</t>
  </si>
  <si>
    <t>Levelland, TX</t>
  </si>
  <si>
    <t>30260</t>
  </si>
  <si>
    <t>Lewisburg, PA</t>
  </si>
  <si>
    <t>30280</t>
  </si>
  <si>
    <t>Lewisburg, TN</t>
  </si>
  <si>
    <t>30380</t>
  </si>
  <si>
    <t>Lewistown, PA</t>
  </si>
  <si>
    <t>30420</t>
  </si>
  <si>
    <t>Lexington, NE</t>
  </si>
  <si>
    <t>30580</t>
  </si>
  <si>
    <t>Liberal, KS</t>
  </si>
  <si>
    <t>30660</t>
  </si>
  <si>
    <t>Lincoln, IL</t>
  </si>
  <si>
    <t>30820</t>
  </si>
  <si>
    <t>Lock Haven, PA</t>
  </si>
  <si>
    <t>30880</t>
  </si>
  <si>
    <t>Logan, WV</t>
  </si>
  <si>
    <t>30900</t>
  </si>
  <si>
    <t>Logansport, IN</t>
  </si>
  <si>
    <t>30940</t>
  </si>
  <si>
    <t>London, KY</t>
  </si>
  <si>
    <t>31060</t>
  </si>
  <si>
    <t>Los Alamos, NM</t>
  </si>
  <si>
    <t>31220</t>
  </si>
  <si>
    <t>Ludington, MI</t>
  </si>
  <si>
    <t>31260</t>
  </si>
  <si>
    <t>Lufkin, TX</t>
  </si>
  <si>
    <t>31300</t>
  </si>
  <si>
    <t>Lumberton, NC</t>
  </si>
  <si>
    <t>31380</t>
  </si>
  <si>
    <t>Macomb, IL</t>
  </si>
  <si>
    <t>31500</t>
  </si>
  <si>
    <t>Madison, IN</t>
  </si>
  <si>
    <t>31580</t>
  </si>
  <si>
    <t>Madisonville, KY</t>
  </si>
  <si>
    <t>31620</t>
  </si>
  <si>
    <t>Magnolia, AR</t>
  </si>
  <si>
    <t>31660</t>
  </si>
  <si>
    <t>Malone, NY</t>
  </si>
  <si>
    <t>31680</t>
  </si>
  <si>
    <t>Malvern, AR</t>
  </si>
  <si>
    <t>31820</t>
  </si>
  <si>
    <t>Manitowoc, WI</t>
  </si>
  <si>
    <t>31930</t>
  </si>
  <si>
    <t>Marietta, OH</t>
  </si>
  <si>
    <t>31940</t>
  </si>
  <si>
    <t>Marinette, WI-MI</t>
  </si>
  <si>
    <t>31980</t>
  </si>
  <si>
    <t>Marion, IN</t>
  </si>
  <si>
    <t>32000</t>
  </si>
  <si>
    <t>Marion, NC</t>
  </si>
  <si>
    <t>32020</t>
  </si>
  <si>
    <t>Marion, OH</t>
  </si>
  <si>
    <t>32100</t>
  </si>
  <si>
    <t>Marquette, MI</t>
  </si>
  <si>
    <t>32140</t>
  </si>
  <si>
    <t>Marshall, MN</t>
  </si>
  <si>
    <t>32180</t>
  </si>
  <si>
    <t>Marshall, MO</t>
  </si>
  <si>
    <t>32220</t>
  </si>
  <si>
    <t>Marshall, TX</t>
  </si>
  <si>
    <t>32260</t>
  </si>
  <si>
    <t>Marshalltown, IA</t>
  </si>
  <si>
    <t>32280</t>
  </si>
  <si>
    <t>Martin, TN</t>
  </si>
  <si>
    <t>32300</t>
  </si>
  <si>
    <t>Martinsville, VA</t>
  </si>
  <si>
    <t>32340</t>
  </si>
  <si>
    <t>Maryville, MO</t>
  </si>
  <si>
    <t>32380</t>
  </si>
  <si>
    <t>Mason City, IA</t>
  </si>
  <si>
    <t>32460</t>
  </si>
  <si>
    <t>Mayfield, KY</t>
  </si>
  <si>
    <t>32500</t>
  </si>
  <si>
    <t>Maysville, KY</t>
  </si>
  <si>
    <t>32540</t>
  </si>
  <si>
    <t>McAlester, OK</t>
  </si>
  <si>
    <t>32620</t>
  </si>
  <si>
    <t>McComb, MS</t>
  </si>
  <si>
    <t>32660</t>
  </si>
  <si>
    <t>McMinnville, TN</t>
  </si>
  <si>
    <t>32700</t>
  </si>
  <si>
    <t>McPherson, KS</t>
  </si>
  <si>
    <t>32740</t>
  </si>
  <si>
    <t>Meadville, PA</t>
  </si>
  <si>
    <t>32860</t>
  </si>
  <si>
    <t>Menomonie, WI</t>
  </si>
  <si>
    <t>32940</t>
  </si>
  <si>
    <t>Meridian, MS</t>
  </si>
  <si>
    <t>32980</t>
  </si>
  <si>
    <t>Merrill, WI</t>
  </si>
  <si>
    <t>33020</t>
  </si>
  <si>
    <t>Mexico, MO</t>
  </si>
  <si>
    <t>33060</t>
  </si>
  <si>
    <t>Miami, OK</t>
  </si>
  <si>
    <t>33180</t>
  </si>
  <si>
    <t>Middlesborough, KY</t>
  </si>
  <si>
    <t>33300</t>
  </si>
  <si>
    <t>Milledgeville, GA</t>
  </si>
  <si>
    <t>33420</t>
  </si>
  <si>
    <t>Mineral Wells, TX</t>
  </si>
  <si>
    <t>33500</t>
  </si>
  <si>
    <t>Minot, ND</t>
  </si>
  <si>
    <t>33580</t>
  </si>
  <si>
    <t>Mitchell, SD</t>
  </si>
  <si>
    <t>33620</t>
  </si>
  <si>
    <t>Moberly, MO</t>
  </si>
  <si>
    <t>33940</t>
  </si>
  <si>
    <t>Montrose, CO</t>
  </si>
  <si>
    <t>33980</t>
  </si>
  <si>
    <t>Morehead City, NC</t>
  </si>
  <si>
    <t>34020</t>
  </si>
  <si>
    <t>Morgan City, LA</t>
  </si>
  <si>
    <t>34140</t>
  </si>
  <si>
    <t>Moscow, ID</t>
  </si>
  <si>
    <t>34180</t>
  </si>
  <si>
    <t>Moses Lake, WA</t>
  </si>
  <si>
    <t>34220</t>
  </si>
  <si>
    <t>Moultrie, GA</t>
  </si>
  <si>
    <t>34260</t>
  </si>
  <si>
    <t>Mountain Home, AR</t>
  </si>
  <si>
    <t>34300</t>
  </si>
  <si>
    <t>Mountain Home, ID</t>
  </si>
  <si>
    <t>34340</t>
  </si>
  <si>
    <t>Mount Airy, NC</t>
  </si>
  <si>
    <t>34380</t>
  </si>
  <si>
    <t>Mount Pleasant, MI</t>
  </si>
  <si>
    <t>34420</t>
  </si>
  <si>
    <t>Mount Pleasant, TX</t>
  </si>
  <si>
    <t>34460</t>
  </si>
  <si>
    <t>Mount Sterling, KY</t>
  </si>
  <si>
    <t>34500</t>
  </si>
  <si>
    <t>Mount Vernon, IL</t>
  </si>
  <si>
    <t>34540</t>
  </si>
  <si>
    <t>Mount Vernon, OH</t>
  </si>
  <si>
    <t>34660</t>
  </si>
  <si>
    <t>Murray, KY</t>
  </si>
  <si>
    <t>34700</t>
  </si>
  <si>
    <t>Muscatine, IA</t>
  </si>
  <si>
    <t>34780</t>
  </si>
  <si>
    <t>Muskogee, OK</t>
  </si>
  <si>
    <t>34860</t>
  </si>
  <si>
    <t>Nacogdoches, TX</t>
  </si>
  <si>
    <t>35020</t>
  </si>
  <si>
    <t>Natchez, MS-LA</t>
  </si>
  <si>
    <t>35060</t>
  </si>
  <si>
    <t>Natchitoches, LA</t>
  </si>
  <si>
    <t>35140</t>
  </si>
  <si>
    <t>Newberry, SC</t>
  </si>
  <si>
    <t>35220</t>
  </si>
  <si>
    <t>New Castle, IN</t>
  </si>
  <si>
    <t>35260</t>
  </si>
  <si>
    <t>New Castle, PA</t>
  </si>
  <si>
    <t>35420</t>
  </si>
  <si>
    <t>New Philadelphia-Dover, OH</t>
  </si>
  <si>
    <t>35440</t>
  </si>
  <si>
    <t>Newport, OR</t>
  </si>
  <si>
    <t>35460</t>
  </si>
  <si>
    <t>Newport, TN</t>
  </si>
  <si>
    <t>35500</t>
  </si>
  <si>
    <t>Newton, IA</t>
  </si>
  <si>
    <t>35580</t>
  </si>
  <si>
    <t>New Ulm, MN</t>
  </si>
  <si>
    <t>35700</t>
  </si>
  <si>
    <t>Nogales, AZ</t>
  </si>
  <si>
    <t>35740</t>
  </si>
  <si>
    <t>Norfolk, NE</t>
  </si>
  <si>
    <t>35820</t>
  </si>
  <si>
    <t>North Platte, NE</t>
  </si>
  <si>
    <t>35860</t>
  </si>
  <si>
    <t>North Vernon, IN</t>
  </si>
  <si>
    <t>35900</t>
  </si>
  <si>
    <t>North Wilkesboro, NC</t>
  </si>
  <si>
    <t>35940</t>
  </si>
  <si>
    <t>Norwalk, OH</t>
  </si>
  <si>
    <t>36020</t>
  </si>
  <si>
    <t>Oak Harbor, WA</t>
  </si>
  <si>
    <t>36300</t>
  </si>
  <si>
    <t>Ogdensburg-Massena, NY</t>
  </si>
  <si>
    <t>36340</t>
  </si>
  <si>
    <t>Oil City, PA</t>
  </si>
  <si>
    <t>36380</t>
  </si>
  <si>
    <t>Okeechobee, FL</t>
  </si>
  <si>
    <t>36460</t>
  </si>
  <si>
    <t>Olean, NY</t>
  </si>
  <si>
    <t>36580</t>
  </si>
  <si>
    <t>Oneonta, NY</t>
  </si>
  <si>
    <t>36620</t>
  </si>
  <si>
    <t>Ontario, OR-ID</t>
  </si>
  <si>
    <t>36660</t>
  </si>
  <si>
    <t>Opelousas, LA</t>
  </si>
  <si>
    <t>36700</t>
  </si>
  <si>
    <t>Orangeburg, SC</t>
  </si>
  <si>
    <t>36820</t>
  </si>
  <si>
    <t>Oskaloosa, IA</t>
  </si>
  <si>
    <t>36830</t>
  </si>
  <si>
    <t>Othello, WA</t>
  </si>
  <si>
    <t>36840</t>
  </si>
  <si>
    <t>Ottawa, KS</t>
  </si>
  <si>
    <t>36860</t>
  </si>
  <si>
    <t>Ottawa-Peru, IL</t>
  </si>
  <si>
    <t>36900</t>
  </si>
  <si>
    <t>Ottumwa, IA</t>
  </si>
  <si>
    <t>36940</t>
  </si>
  <si>
    <t>Owatonna, MN</t>
  </si>
  <si>
    <t>37020</t>
  </si>
  <si>
    <t>Owosso, MI</t>
  </si>
  <si>
    <t>37060</t>
  </si>
  <si>
    <t>Oxford, MS</t>
  </si>
  <si>
    <t>37080</t>
  </si>
  <si>
    <t>Oxford, NC</t>
  </si>
  <si>
    <t>37120</t>
  </si>
  <si>
    <t>Ozark, AL</t>
  </si>
  <si>
    <t>37140</t>
  </si>
  <si>
    <t>Paducah, KY-IL</t>
  </si>
  <si>
    <t>37220</t>
  </si>
  <si>
    <t>Pahrump, NV</t>
  </si>
  <si>
    <t>37260</t>
  </si>
  <si>
    <t>Palatka, FL</t>
  </si>
  <si>
    <t>37300</t>
  </si>
  <si>
    <t>Palestine, TX</t>
  </si>
  <si>
    <t>37420</t>
  </si>
  <si>
    <t>Pampa, TX</t>
  </si>
  <si>
    <t>37500</t>
  </si>
  <si>
    <t>Paragould, AR</t>
  </si>
  <si>
    <t>37540</t>
  </si>
  <si>
    <t>Paris, TN</t>
  </si>
  <si>
    <t>37580</t>
  </si>
  <si>
    <t>Paris, TX</t>
  </si>
  <si>
    <t>37660</t>
  </si>
  <si>
    <t>Parsons, KS</t>
  </si>
  <si>
    <t>37740</t>
  </si>
  <si>
    <t>Payson, AZ</t>
  </si>
  <si>
    <t>37780</t>
  </si>
  <si>
    <t>Pecos, TX</t>
  </si>
  <si>
    <t>37940</t>
  </si>
  <si>
    <t>Peru, IN</t>
  </si>
  <si>
    <t>38100</t>
  </si>
  <si>
    <t>Picayune, MS</t>
  </si>
  <si>
    <t>38180</t>
  </si>
  <si>
    <t>Pierre, SD</t>
  </si>
  <si>
    <t>38240</t>
  </si>
  <si>
    <t>Pinehurst-Southern Pines, NC</t>
  </si>
  <si>
    <t>38260</t>
  </si>
  <si>
    <t>Pittsburg, KS</t>
  </si>
  <si>
    <t>38380</t>
  </si>
  <si>
    <t>Plainview, TX</t>
  </si>
  <si>
    <t>38420</t>
  </si>
  <si>
    <t>Platteville, WI</t>
  </si>
  <si>
    <t>38460</t>
  </si>
  <si>
    <t>Plattsburgh, NY</t>
  </si>
  <si>
    <t>38500</t>
  </si>
  <si>
    <t>Plymouth, IN</t>
  </si>
  <si>
    <t>38580</t>
  </si>
  <si>
    <t>Point Pleasant, WV-OH</t>
  </si>
  <si>
    <t>38620</t>
  </si>
  <si>
    <t>Ponca City, OK</t>
  </si>
  <si>
    <t>38700</t>
  </si>
  <si>
    <t>Pontiac, IL</t>
  </si>
  <si>
    <t>38740</t>
  </si>
  <si>
    <t>Poplar Bluff, MO</t>
  </si>
  <si>
    <t>38780</t>
  </si>
  <si>
    <t>Portales, NM</t>
  </si>
  <si>
    <t>38820</t>
  </si>
  <si>
    <t>Port Angeles, WA</t>
  </si>
  <si>
    <t>38840</t>
  </si>
  <si>
    <t>Port Clinton, OH</t>
  </si>
  <si>
    <t>38920</t>
  </si>
  <si>
    <t>Port Lavaca, TX</t>
  </si>
  <si>
    <t>39020</t>
  </si>
  <si>
    <t>Portsmouth, OH</t>
  </si>
  <si>
    <t>39060</t>
  </si>
  <si>
    <t>Pottsville, PA</t>
  </si>
  <si>
    <t>39220</t>
  </si>
  <si>
    <t>Price, UT</t>
  </si>
  <si>
    <t>39260</t>
  </si>
  <si>
    <t>Prineville, OR</t>
  </si>
  <si>
    <t>39420</t>
  </si>
  <si>
    <t>Pullman, WA</t>
  </si>
  <si>
    <t>39500</t>
  </si>
  <si>
    <t>Quincy, IL-MO</t>
  </si>
  <si>
    <t>39700</t>
  </si>
  <si>
    <t>Raymondville, TX</t>
  </si>
  <si>
    <t>39780</t>
  </si>
  <si>
    <t>Red Bluff, CA</t>
  </si>
  <si>
    <t>39860</t>
  </si>
  <si>
    <t>Red Wing, MN</t>
  </si>
  <si>
    <t>39940</t>
  </si>
  <si>
    <t>Rexburg, ID</t>
  </si>
  <si>
    <t>39980</t>
  </si>
  <si>
    <t>Richmond, IN</t>
  </si>
  <si>
    <t>40080</t>
  </si>
  <si>
    <t>Richmond-Berea, KY</t>
  </si>
  <si>
    <t>40100</t>
  </si>
  <si>
    <t>Rio Grande City, TX</t>
  </si>
  <si>
    <t>40180</t>
  </si>
  <si>
    <t>Riverton, WY</t>
  </si>
  <si>
    <t>40260</t>
  </si>
  <si>
    <t>Roanoke Rapids, NC</t>
  </si>
  <si>
    <t>40300</t>
  </si>
  <si>
    <t>Rochelle, IL</t>
  </si>
  <si>
    <t>40460</t>
  </si>
  <si>
    <t>Rockingham, NC</t>
  </si>
  <si>
    <t>40540</t>
  </si>
  <si>
    <t>Rock Springs, WY</t>
  </si>
  <si>
    <t>40620</t>
  </si>
  <si>
    <t>Rolla, MO</t>
  </si>
  <si>
    <t>40700</t>
  </si>
  <si>
    <t>Roseburg, OR</t>
  </si>
  <si>
    <t>40740</t>
  </si>
  <si>
    <t>Roswell, NM</t>
  </si>
  <si>
    <t>40780</t>
  </si>
  <si>
    <t>Russellville, AR</t>
  </si>
  <si>
    <t>40820</t>
  </si>
  <si>
    <t>Ruston, LA</t>
  </si>
  <si>
    <t>40860</t>
  </si>
  <si>
    <t>Rutland, VT</t>
  </si>
  <si>
    <t>40940</t>
  </si>
  <si>
    <t>Safford, AZ</t>
  </si>
  <si>
    <t>41220</t>
  </si>
  <si>
    <t>St. Marys, GA</t>
  </si>
  <si>
    <t>41400</t>
  </si>
  <si>
    <t>Salem, OH</t>
  </si>
  <si>
    <t>41460</t>
  </si>
  <si>
    <t>Salina, KS</t>
  </si>
  <si>
    <t>41760</t>
  </si>
  <si>
    <t>Sandpoint, ID</t>
  </si>
  <si>
    <t>41780</t>
  </si>
  <si>
    <t>Sandusky, OH</t>
  </si>
  <si>
    <t>41820</t>
  </si>
  <si>
    <t>Sanford, NC</t>
  </si>
  <si>
    <t>42300</t>
  </si>
  <si>
    <t>Sault Ste. Marie, MI</t>
  </si>
  <si>
    <t>42380</t>
  </si>
  <si>
    <t>Sayre, PA</t>
  </si>
  <si>
    <t>42420</t>
  </si>
  <si>
    <t>Scottsbluff, NE</t>
  </si>
  <si>
    <t>42460</t>
  </si>
  <si>
    <t>Scottsboro, AL</t>
  </si>
  <si>
    <t>42620</t>
  </si>
  <si>
    <t>Searcy, AR</t>
  </si>
  <si>
    <t>42740</t>
  </si>
  <si>
    <t>Sedalia, MO</t>
  </si>
  <si>
    <t>42780</t>
  </si>
  <si>
    <t>Selinsgrove, PA</t>
  </si>
  <si>
    <t>42820</t>
  </si>
  <si>
    <t>Selma, AL</t>
  </si>
  <si>
    <t>42860</t>
  </si>
  <si>
    <t>Seneca, SC</t>
  </si>
  <si>
    <t>42900</t>
  </si>
  <si>
    <t>Seneca Falls, NY</t>
  </si>
  <si>
    <t>42940</t>
  </si>
  <si>
    <t>Sevierville, TN</t>
  </si>
  <si>
    <t>42980</t>
  </si>
  <si>
    <t>Seymour, IN</t>
  </si>
  <si>
    <t>43020</t>
  </si>
  <si>
    <t>Shawano, WI</t>
  </si>
  <si>
    <t>43060</t>
  </si>
  <si>
    <t>Shawnee, OK</t>
  </si>
  <si>
    <t>43140</t>
  </si>
  <si>
    <t>Shelby, NC</t>
  </si>
  <si>
    <t>43180</t>
  </si>
  <si>
    <t>Shelbyville, TN</t>
  </si>
  <si>
    <t>43220</t>
  </si>
  <si>
    <t>Shelton, WA</t>
  </si>
  <si>
    <t>43260</t>
  </si>
  <si>
    <t>Sheridan, WY</t>
  </si>
  <si>
    <t>43320</t>
  </si>
  <si>
    <t>Show Low, AZ</t>
  </si>
  <si>
    <t>43380</t>
  </si>
  <si>
    <t>Sidney, OH</t>
  </si>
  <si>
    <t>43460</t>
  </si>
  <si>
    <t>Sikeston, MO</t>
  </si>
  <si>
    <t>43500</t>
  </si>
  <si>
    <t>Silver City, NM</t>
  </si>
  <si>
    <t>43660</t>
  </si>
  <si>
    <t>Snyder, TX</t>
  </si>
  <si>
    <t>43700</t>
  </si>
  <si>
    <t>Somerset, KY</t>
  </si>
  <si>
    <t>43740</t>
  </si>
  <si>
    <t>Somerset, PA</t>
  </si>
  <si>
    <t>43760</t>
  </si>
  <si>
    <t>Sonora, CA</t>
  </si>
  <si>
    <t>43940</t>
  </si>
  <si>
    <t>Spearfish, SD</t>
  </si>
  <si>
    <t>43980</t>
  </si>
  <si>
    <t>Spencer, IA</t>
  </si>
  <si>
    <t>44020</t>
  </si>
  <si>
    <t>Spirit Lake, IA</t>
  </si>
  <si>
    <t>44260</t>
  </si>
  <si>
    <t>Starkville, MS</t>
  </si>
  <si>
    <t>44340</t>
  </si>
  <si>
    <t>Statesboro, GA</t>
  </si>
  <si>
    <t>44460</t>
  </si>
  <si>
    <t>Steamboat Springs, CO</t>
  </si>
  <si>
    <t>44500</t>
  </si>
  <si>
    <t>Stephenville, TX</t>
  </si>
  <si>
    <t>44540</t>
  </si>
  <si>
    <t>Sterling, CO</t>
  </si>
  <si>
    <t>44580</t>
  </si>
  <si>
    <t>Sterling, IL</t>
  </si>
  <si>
    <t>44620</t>
  </si>
  <si>
    <t>Stevens Point, WI</t>
  </si>
  <si>
    <t>44660</t>
  </si>
  <si>
    <t>Stillwater, OK</t>
  </si>
  <si>
    <t>44740</t>
  </si>
  <si>
    <t>Storm Lake, IA</t>
  </si>
  <si>
    <t>44780</t>
  </si>
  <si>
    <t>Sturgis, MI</t>
  </si>
  <si>
    <t>44860</t>
  </si>
  <si>
    <t>Sulphur Springs, TX</t>
  </si>
  <si>
    <t>44900</t>
  </si>
  <si>
    <t>Summerville, GA</t>
  </si>
  <si>
    <t>44920</t>
  </si>
  <si>
    <t>Summit Park, UT</t>
  </si>
  <si>
    <t>44980</t>
  </si>
  <si>
    <t>Sunbury, PA</t>
  </si>
  <si>
    <t>45000</t>
  </si>
  <si>
    <t>Susanville, CA</t>
  </si>
  <si>
    <t>45020</t>
  </si>
  <si>
    <t>Sweetwater, TX</t>
  </si>
  <si>
    <t>45140</t>
  </si>
  <si>
    <t>Tahlequah, OK</t>
  </si>
  <si>
    <t>45180</t>
  </si>
  <si>
    <t>Talladega-Sylacauga, AL</t>
  </si>
  <si>
    <t>45340</t>
  </si>
  <si>
    <t>Taos, NM</t>
  </si>
  <si>
    <t>45380</t>
  </si>
  <si>
    <t>Taylorville, IL</t>
  </si>
  <si>
    <t>45520</t>
  </si>
  <si>
    <t>The Dalles, OR</t>
  </si>
  <si>
    <t>45580</t>
  </si>
  <si>
    <t>Thomaston, GA</t>
  </si>
  <si>
    <t>45620</t>
  </si>
  <si>
    <t>Thomasville, GA</t>
  </si>
  <si>
    <t>45660</t>
  </si>
  <si>
    <t>Tiffin, OH</t>
  </si>
  <si>
    <t>45700</t>
  </si>
  <si>
    <t>Tifton, GA</t>
  </si>
  <si>
    <t>45740</t>
  </si>
  <si>
    <t>Toccoa, GA</t>
  </si>
  <si>
    <t>45860</t>
  </si>
  <si>
    <t>Torrington, CT</t>
  </si>
  <si>
    <t>45900</t>
  </si>
  <si>
    <t>Traverse City, MI</t>
  </si>
  <si>
    <t>45980</t>
  </si>
  <si>
    <t>Troy, AL</t>
  </si>
  <si>
    <t>46020</t>
  </si>
  <si>
    <t>Truckee-Grass Valley, CA</t>
  </si>
  <si>
    <t>46100</t>
  </si>
  <si>
    <t>Tullahoma-Manchester, TN</t>
  </si>
  <si>
    <t>46180</t>
  </si>
  <si>
    <t>Tupelo, MS</t>
  </si>
  <si>
    <t>46300</t>
  </si>
  <si>
    <t>Twin Falls, ID</t>
  </si>
  <si>
    <t>46380</t>
  </si>
  <si>
    <t>Ukiah, CA</t>
  </si>
  <si>
    <t>46460</t>
  </si>
  <si>
    <t>Union City, TN-KY</t>
  </si>
  <si>
    <t>46500</t>
  </si>
  <si>
    <t>Urbana, OH</t>
  </si>
  <si>
    <t>46620</t>
  </si>
  <si>
    <t>Uvalde, TX</t>
  </si>
  <si>
    <t>46740</t>
  </si>
  <si>
    <t>Valley, AL</t>
  </si>
  <si>
    <t>46780</t>
  </si>
  <si>
    <t>Van Wert, OH</t>
  </si>
  <si>
    <t>46820</t>
  </si>
  <si>
    <t>Vermillion, SD</t>
  </si>
  <si>
    <t>46860</t>
  </si>
  <si>
    <t>Vernal, UT</t>
  </si>
  <si>
    <t>46900</t>
  </si>
  <si>
    <t>Vernon, TX</t>
  </si>
  <si>
    <t>46980</t>
  </si>
  <si>
    <t>Vicksburg, MS</t>
  </si>
  <si>
    <t>47080</t>
  </si>
  <si>
    <t>Vidalia, GA</t>
  </si>
  <si>
    <t>47180</t>
  </si>
  <si>
    <t>Vincennes, IN</t>
  </si>
  <si>
    <t>47240</t>
  </si>
  <si>
    <t>Vineyard Haven, MA</t>
  </si>
  <si>
    <t>47340</t>
  </si>
  <si>
    <t>Wabash, IN</t>
  </si>
  <si>
    <t>47420</t>
  </si>
  <si>
    <t>Wahpeton, ND-MN</t>
  </si>
  <si>
    <t>47540</t>
  </si>
  <si>
    <t>Wapakoneta, OH</t>
  </si>
  <si>
    <t>47620</t>
  </si>
  <si>
    <t>Warren, PA</t>
  </si>
  <si>
    <t>47660</t>
  </si>
  <si>
    <t>Warrensburg, MO</t>
  </si>
  <si>
    <t>47700</t>
  </si>
  <si>
    <t>Warsaw, IN</t>
  </si>
  <si>
    <t>47780</t>
  </si>
  <si>
    <t>Washington, IN</t>
  </si>
  <si>
    <t>47820</t>
  </si>
  <si>
    <t>Washington, NC</t>
  </si>
  <si>
    <t>47920</t>
  </si>
  <si>
    <t>Washington Court House, OH</t>
  </si>
  <si>
    <t>47980</t>
  </si>
  <si>
    <t>Watertown, SD</t>
  </si>
  <si>
    <t>48020</t>
  </si>
  <si>
    <t>Watertown-Fort Atkinson, WI</t>
  </si>
  <si>
    <t>48100</t>
  </si>
  <si>
    <t>Wauchula, FL</t>
  </si>
  <si>
    <t>48180</t>
  </si>
  <si>
    <t>Waycross, GA</t>
  </si>
  <si>
    <t>48220</t>
  </si>
  <si>
    <t>Weatherford, OK</t>
  </si>
  <si>
    <t>48460</t>
  </si>
  <si>
    <t>West Plains, MO</t>
  </si>
  <si>
    <t>48580</t>
  </si>
  <si>
    <t>Whitewater-Elkhorn, WI</t>
  </si>
  <si>
    <t>48780</t>
  </si>
  <si>
    <t>Williston, ND</t>
  </si>
  <si>
    <t>48820</t>
  </si>
  <si>
    <t>Willmar, MN</t>
  </si>
  <si>
    <t>48940</t>
  </si>
  <si>
    <t>Wilmington, OH</t>
  </si>
  <si>
    <t>48980</t>
  </si>
  <si>
    <t>Wilson, NC</t>
  </si>
  <si>
    <t>49080</t>
  </si>
  <si>
    <t>Winnemucca, NV</t>
  </si>
  <si>
    <t>49100</t>
  </si>
  <si>
    <t>Winona, MN</t>
  </si>
  <si>
    <t>49220</t>
  </si>
  <si>
    <t>Wisconsin Rapids-Marshfield, WI</t>
  </si>
  <si>
    <t>49260</t>
  </si>
  <si>
    <t>Woodward, OK</t>
  </si>
  <si>
    <t>49300</t>
  </si>
  <si>
    <t>Wooster, OH</t>
  </si>
  <si>
    <t>49380</t>
  </si>
  <si>
    <t>Worthington, MN</t>
  </si>
  <si>
    <t>49460</t>
  </si>
  <si>
    <t>Yankton, SD</t>
  </si>
  <si>
    <t>49780</t>
  </si>
  <si>
    <t>Zanesville, OH</t>
  </si>
  <si>
    <t>49820</t>
  </si>
  <si>
    <t>Zapata, TX</t>
  </si>
  <si>
    <t>Note: The estimates are based on the 2010 Census and reflect changes to the April 1, 2010 population due to the Count Question Resolution program and geographic program revisions.  The Office of Management and Budget's statistical area delineations for metropolitan and micropolitan statistical areas, as well as metropolitan divisions, are those issued by that agency in February 2013 &lt;http://www.whitehouse.gov/omb/inforeg_statpolicy#ms&gt;.</t>
  </si>
  <si>
    <t>The metropolitan and micropolitan statistical area population estimates are based upon the county estimates.  The county estimates methodology is available at: &lt;http://www.census.gov/popest/methodology/2012-nat-st-co-meth.pdf&gt;.</t>
  </si>
  <si>
    <t>Suggested Citation:</t>
  </si>
  <si>
    <t>Table 1.  Annual Estimates of the Population of Metropolitan and Micropolitan Statistical Areas: April 1, 2010 to July 1, 2012 (CBSA-EST2012-01)</t>
  </si>
  <si>
    <t>Source: U.S. Census Bureau, Population Division</t>
  </si>
  <si>
    <t>Release Date: March 2013</t>
  </si>
  <si>
    <t>Metro Area Population</t>
  </si>
  <si>
    <t>Miami / Fort Lauderdale</t>
  </si>
  <si>
    <t>Phoenix / Scottsdale</t>
  </si>
  <si>
    <t>Per Day</t>
  </si>
  <si>
    <t>Theranos Requisitions per Year</t>
  </si>
  <si>
    <t>&lt;&lt;Assumes open 365 days/yr</t>
  </si>
  <si>
    <t>&lt;&lt;Assume all have immunization capabilities</t>
  </si>
  <si>
    <t>WAG Build</t>
  </si>
  <si>
    <t>%  to Metro Area</t>
  </si>
  <si>
    <t>State</t>
  </si>
  <si>
    <t>MA</t>
  </si>
  <si>
    <t>NY + NJ</t>
  </si>
  <si>
    <t>PA + DE</t>
  </si>
  <si>
    <t>FL</t>
  </si>
  <si>
    <t>IL</t>
  </si>
  <si>
    <t>MI</t>
  </si>
  <si>
    <t>MN</t>
  </si>
  <si>
    <t>TX</t>
  </si>
  <si>
    <t>CA</t>
  </si>
  <si>
    <t>AZ</t>
  </si>
  <si>
    <t>OR</t>
  </si>
  <si>
    <t>WA</t>
  </si>
  <si>
    <t>&lt;&lt;San Diego makes up rest</t>
  </si>
  <si>
    <t>&lt;&lt;Tuscon makes up rest</t>
  </si>
  <si>
    <t>&lt;&lt;Few scattered stores outside of city</t>
  </si>
  <si>
    <t>&lt;&lt;San Antonio and Austin make up small #</t>
  </si>
  <si>
    <t>&lt;&lt;Few in Grand Rapids, Lansing</t>
  </si>
  <si>
    <t>&lt;&lt;Some in suburbs, western Mass</t>
  </si>
  <si>
    <t>&lt;&lt;Mostly in metro area and boroughs</t>
  </si>
  <si>
    <t>&lt;&lt;Rest is Pittsburgh</t>
  </si>
  <si>
    <t>&lt;&lt;Evenly split between these 3, and smaller prescence in Jacksonville, Cape Coral</t>
  </si>
  <si>
    <t>Requisitions / year  in US (Excludes Hospitals)</t>
  </si>
  <si>
    <t>WAG Stores in State</t>
  </si>
  <si>
    <t>Total</t>
  </si>
  <si>
    <t>Safeway Stores</t>
  </si>
  <si>
    <t>Growth</t>
  </si>
  <si>
    <t>Avg. Theranos Req / Year / Retail Store</t>
  </si>
  <si>
    <t>D.C. Metro Area</t>
  </si>
  <si>
    <t>DC+VA+MD</t>
  </si>
  <si>
    <t>&lt;&lt; Some in VA outside of metro area</t>
  </si>
  <si>
    <t>Denver</t>
  </si>
  <si>
    <t>CO</t>
  </si>
  <si>
    <t>% Stores Additional to WAG</t>
  </si>
  <si>
    <t>NY / NJ Metro Area</t>
  </si>
  <si>
    <t>Number of Retail Stores (Total)</t>
  </si>
  <si>
    <t>&lt;&lt;Ramp in stores implied in penetration</t>
  </si>
  <si>
    <t>&lt;&lt;Assumes 2 years to peak penetration then flat</t>
  </si>
  <si>
    <t>Mar-E</t>
  </si>
  <si>
    <t>Jun-E</t>
  </si>
  <si>
    <t>Sep-E</t>
  </si>
  <si>
    <t>Dec-E</t>
  </si>
  <si>
    <t>Per Day (&gt; 15 in Red)</t>
  </si>
  <si>
    <t>Incremental Locations (Base and Bull Only)</t>
  </si>
  <si>
    <t>Capacity %</t>
  </si>
  <si>
    <t>Req Capacity</t>
  </si>
  <si>
    <t>Retail Requistions</t>
  </si>
  <si>
    <t>Number of Requisitions</t>
  </si>
  <si>
    <t>Company</t>
  </si>
  <si>
    <t>&lt;&lt;&lt; Input 1-4</t>
  </si>
  <si>
    <t>PFM Bear (4% Penetration Ramp)</t>
  </si>
  <si>
    <t>PFM Base (8% Penetration Ramp)</t>
  </si>
  <si>
    <t>PFM Bull (12% Penetration Ramp)</t>
  </si>
  <si>
    <t>Facebook</t>
  </si>
  <si>
    <t>Twitter</t>
  </si>
  <si>
    <t>Splunk</t>
  </si>
  <si>
    <t>Illumina</t>
  </si>
  <si>
    <t>Market Cap</t>
  </si>
  <si>
    <t>Sales</t>
  </si>
  <si>
    <t>Theranos</t>
  </si>
  <si>
    <t>Current</t>
  </si>
  <si>
    <t>IPO Date</t>
  </si>
  <si>
    <t>Sales Multiple</t>
  </si>
  <si>
    <t>Total US Lab Market</t>
  </si>
  <si>
    <t>Hospital Outpatient</t>
  </si>
  <si>
    <t>Outside the Hospital</t>
  </si>
  <si>
    <t>Outside the Hospital Lab Segment</t>
  </si>
  <si>
    <t>POL</t>
  </si>
  <si>
    <t>Other</t>
  </si>
  <si>
    <t>PFM Base Case</t>
  </si>
  <si>
    <t>PFM Bear Case</t>
  </si>
  <si>
    <t>PFM Bull Case</t>
  </si>
  <si>
    <t>Implied Multiple</t>
  </si>
  <si>
    <t>Current Street</t>
  </si>
  <si>
    <t>Tesla</t>
  </si>
  <si>
    <t>CRM</t>
  </si>
  <si>
    <t>Salesforce.com</t>
  </si>
  <si>
    <t>IPO Year</t>
  </si>
  <si>
    <t>FB</t>
  </si>
  <si>
    <t>ILMN</t>
  </si>
  <si>
    <t>First Year Public</t>
  </si>
  <si>
    <t>Second Year Public</t>
  </si>
  <si>
    <t>Street Revenue Estimates</t>
  </si>
  <si>
    <t>Number of MSAs</t>
  </si>
  <si>
    <t>Average Penetration</t>
  </si>
  <si>
    <t>Intuitive Surgical</t>
  </si>
  <si>
    <t>Theranos (Assumed $8bn 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</si>
</sst>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x"/>
    <numFmt numFmtId="166" formatCode="_(&quot;$&quot;* #,##0_);_(&quot;$&quot;* \(#,##0\);_(&quot;$&quot;* &quot;-&quot;??_);_(@_)"/>
    <numFmt numFmtId="167" formatCode="_(* #,##0_);_(* \(#,##0\);_(* &quot;-&quot;??_);_(@_)"/>
    <numFmt numFmtId="168" formatCode="\+#,###;"/>
    <numFmt numFmtId="169" formatCode="#,##0\ \ \ \ ;[Red]\(#,##0\)\ \ \ ;\—\ \ \ \ "/>
    <numFmt numFmtId="170" formatCode="#&quot;E&quot;"/>
    <numFmt numFmtId="171" formatCode="&quot;$&quot;#,##0.0_);[Red]\(&quot;$&quot;#,##0.0\)"/>
    <numFmt numFmtId="172" formatCode="#.0\x"/>
    <numFmt numFmtId="173" formatCode="0#.0\x"/>
    <numFmt numFmtId="174" formatCode="#"/>
    <numFmt numFmtId="175" formatCode="mmmm\ d\,\ yyyy"/>
    <numFmt numFmtId="176" formatCode="#,##0.0"/>
  </numFmts>
  <fonts count="45" x14ac:knownFonts="1">
    <font>
      <sz val="11"/>
      <color theme="1"/>
      <name val="Calibri"/>
      <family val="2"/>
      <scheme val="minor"/>
    </font>
    <font>
      <sz val="10"/>
      <color theme="1"/>
      <name val="Arial"/>
      <family val="2"/>
    </font>
    <font>
      <b/>
      <sz val="10"/>
      <color theme="1"/>
      <name val="Arial"/>
      <family val="2"/>
    </font>
    <font>
      <i/>
      <sz val="10"/>
      <color theme="1"/>
      <name val="Arial"/>
      <family val="2"/>
    </font>
    <font>
      <i/>
      <sz val="10"/>
      <color rgb="FF0000FF"/>
      <name val="Arial"/>
      <family val="2"/>
    </font>
    <font>
      <b/>
      <u/>
      <sz val="10"/>
      <color theme="1"/>
      <name val="Arial"/>
      <family val="2"/>
    </font>
    <font>
      <sz val="10"/>
      <color rgb="FF0000FF"/>
      <name val="Arial"/>
      <family val="2"/>
    </font>
    <font>
      <i/>
      <sz val="10"/>
      <name val="Arial"/>
      <family val="2"/>
    </font>
    <font>
      <b/>
      <sz val="10"/>
      <name val="Arial"/>
      <family val="2"/>
    </font>
    <font>
      <sz val="11"/>
      <color theme="1"/>
      <name val="Calibri"/>
      <family val="2"/>
      <scheme val="minor"/>
    </font>
    <font>
      <b/>
      <sz val="11"/>
      <color theme="1"/>
      <name val="Calibri"/>
      <family val="2"/>
      <scheme val="minor"/>
    </font>
    <font>
      <sz val="10"/>
      <name val="Verdana"/>
      <family val="2"/>
    </font>
    <font>
      <b/>
      <sz val="10"/>
      <name val="Verdana"/>
      <family val="2"/>
    </font>
    <font>
      <b/>
      <u/>
      <sz val="10"/>
      <name val="Verdana"/>
      <family val="2"/>
    </font>
    <font>
      <b/>
      <sz val="9"/>
      <color indexed="81"/>
      <name val="Tahoma"/>
      <family val="2"/>
    </font>
    <font>
      <sz val="9"/>
      <color indexed="81"/>
      <name val="Tahoma"/>
      <family val="2"/>
    </font>
    <font>
      <b/>
      <sz val="18"/>
      <name val="Verdana"/>
      <family val="2"/>
    </font>
    <font>
      <b/>
      <sz val="8"/>
      <name val="Verdana"/>
      <family val="2"/>
    </font>
    <font>
      <sz val="8"/>
      <name val="Verdana"/>
      <family val="2"/>
    </font>
    <font>
      <sz val="18"/>
      <name val="Verdana"/>
      <family val="2"/>
    </font>
    <font>
      <sz val="10"/>
      <color rgb="FFFF0000"/>
      <name val="Verdana"/>
      <family val="2"/>
    </font>
    <font>
      <sz val="10"/>
      <color rgb="FF00B050"/>
      <name val="Verdana"/>
      <family val="2"/>
    </font>
    <font>
      <i/>
      <sz val="10"/>
      <name val="Verdana"/>
      <family val="2"/>
    </font>
    <font>
      <b/>
      <sz val="12"/>
      <name val="Verdana"/>
      <family val="2"/>
    </font>
    <font>
      <sz val="11"/>
      <name val="Verdana"/>
      <family val="2"/>
    </font>
    <font>
      <sz val="12"/>
      <name val="Verdana"/>
      <family val="2"/>
    </font>
    <font>
      <i/>
      <sz val="8"/>
      <name val="Verdana"/>
      <family val="2"/>
    </font>
    <font>
      <u/>
      <sz val="10"/>
      <name val="Verdana"/>
      <family val="2"/>
    </font>
    <font>
      <b/>
      <sz val="11"/>
      <name val="Times New Roman"/>
      <family val="1"/>
    </font>
    <font>
      <sz val="11"/>
      <name val="Times New Roman"/>
      <family val="1"/>
    </font>
    <font>
      <sz val="11"/>
      <color indexed="8"/>
      <name val="Times New Roman"/>
      <family val="1"/>
    </font>
    <font>
      <b/>
      <u/>
      <sz val="11"/>
      <color theme="1"/>
      <name val="Calibri"/>
      <family val="2"/>
      <scheme val="minor"/>
    </font>
    <font>
      <sz val="10"/>
      <name val="Courier"/>
      <family val="3"/>
    </font>
    <font>
      <sz val="10"/>
      <name val="Arial"/>
      <family val="2"/>
    </font>
    <font>
      <sz val="8"/>
      <color indexed="81"/>
      <name val="Tahoma"/>
      <family val="2"/>
    </font>
    <font>
      <b/>
      <sz val="8"/>
      <color indexed="81"/>
      <name val="Tahoma"/>
      <family val="2"/>
    </font>
    <font>
      <b/>
      <i/>
      <sz val="10"/>
      <color theme="1"/>
      <name val="Arial"/>
      <family val="2"/>
    </font>
    <font>
      <u/>
      <sz val="10"/>
      <color theme="1"/>
      <name val="Arial"/>
      <family val="2"/>
    </font>
    <font>
      <b/>
      <i/>
      <sz val="10"/>
      <name val="Arial"/>
      <family val="2"/>
    </font>
    <font>
      <sz val="8"/>
      <color indexed="9"/>
      <name val="Arial"/>
      <family val="2"/>
    </font>
    <font>
      <sz val="8"/>
      <name val="Arial"/>
      <family val="2"/>
    </font>
    <font>
      <b/>
      <sz val="8"/>
      <name val="Arial"/>
      <family val="2"/>
    </font>
    <font>
      <b/>
      <sz val="10"/>
      <color rgb="FF0000FF"/>
      <name val="Arial"/>
      <family val="2"/>
    </font>
    <font>
      <sz val="10"/>
      <color rgb="FF00B050"/>
      <name val="Arial"/>
      <family val="2"/>
    </font>
    <font>
      <b/>
      <sz val="10"/>
      <color theme="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9" tint="0.79998168889431442"/>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auto="1"/>
      </top>
      <bottom style="thin">
        <color auto="1"/>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top style="medium">
        <color auto="1"/>
      </top>
      <bottom/>
      <diagonal/>
    </border>
    <border>
      <left/>
      <right style="thin">
        <color indexed="64"/>
      </right>
      <top style="medium">
        <color auto="1"/>
      </top>
      <bottom/>
      <diagonal/>
    </border>
    <border>
      <left/>
      <right/>
      <top style="medium">
        <color auto="1"/>
      </top>
      <bottom/>
      <diagonal/>
    </border>
    <border>
      <left style="medium">
        <color auto="1"/>
      </left>
      <right/>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indexed="64"/>
      </bottom>
      <diagonal/>
    </border>
    <border>
      <left style="thin">
        <color indexed="0"/>
      </left>
      <right style="thin">
        <color indexed="0"/>
      </right>
      <top style="thin">
        <color indexed="64"/>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thin">
        <color indexed="0"/>
      </left>
      <right style="thin">
        <color indexed="0"/>
      </right>
      <top/>
      <bottom/>
      <diagonal/>
    </border>
    <border>
      <left style="thin">
        <color indexed="0"/>
      </left>
      <right/>
      <top style="thin">
        <color indexed="64"/>
      </top>
      <bottom style="thin">
        <color indexed="64"/>
      </bottom>
      <diagonal/>
    </border>
    <border>
      <left/>
      <right style="thin">
        <color indexed="0"/>
      </right>
      <top style="thin">
        <color indexed="64"/>
      </top>
      <bottom style="thin">
        <color indexed="64"/>
      </bottom>
      <diagonal/>
    </border>
    <border>
      <left style="thin">
        <color indexed="0"/>
      </left>
      <right/>
      <top style="thin">
        <color indexed="64"/>
      </top>
      <bottom/>
      <diagonal/>
    </border>
    <border>
      <left/>
      <right style="thin">
        <color indexed="0"/>
      </right>
      <top style="thin">
        <color indexed="64"/>
      </top>
      <bottom/>
      <diagonal/>
    </border>
    <border>
      <left style="thin">
        <color indexed="0"/>
      </left>
      <right/>
      <top/>
      <bottom/>
      <diagonal/>
    </border>
    <border>
      <left/>
      <right style="thin">
        <color indexed="0"/>
      </right>
      <top/>
      <bottom/>
      <diagonal/>
    </border>
    <border>
      <left style="thin">
        <color indexed="0"/>
      </left>
      <right/>
      <top/>
      <bottom style="thin">
        <color indexed="64"/>
      </bottom>
      <diagonal/>
    </border>
    <border>
      <left/>
      <right style="thin">
        <color indexed="0"/>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auto="1"/>
      </top>
      <bottom style="thin">
        <color auto="1"/>
      </bottom>
      <diagonal/>
    </border>
  </borders>
  <cellStyleXfs count="15">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1"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2" fontId="11" fillId="0" borderId="0" applyFont="0" applyFill="0" applyBorder="0" applyAlignment="0" applyProtection="0"/>
    <xf numFmtId="0" fontId="9" fillId="0" borderId="0"/>
    <xf numFmtId="169" fontId="30"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32" fillId="0" borderId="0"/>
  </cellStyleXfs>
  <cellXfs count="552">
    <xf numFmtId="0" fontId="0" fillId="0" borderId="0" xfId="0"/>
    <xf numFmtId="0" fontId="1" fillId="0" borderId="0" xfId="0" applyFont="1"/>
    <xf numFmtId="0" fontId="2" fillId="0" borderId="1" xfId="0" applyFont="1" applyBorder="1"/>
    <xf numFmtId="0" fontId="2" fillId="0" borderId="0" xfId="0" applyFont="1" applyBorder="1"/>
    <xf numFmtId="0" fontId="3" fillId="0" borderId="0" xfId="0" applyFont="1"/>
    <xf numFmtId="0" fontId="2" fillId="0" borderId="0" xfId="0" applyFont="1"/>
    <xf numFmtId="0" fontId="1" fillId="0" borderId="1" xfId="0" applyFont="1" applyBorder="1"/>
    <xf numFmtId="3" fontId="1" fillId="0" borderId="0" xfId="0" applyNumberFormat="1" applyFont="1"/>
    <xf numFmtId="3" fontId="1" fillId="0" borderId="1" xfId="0" applyNumberFormat="1" applyFont="1" applyBorder="1"/>
    <xf numFmtId="164" fontId="4" fillId="0" borderId="0" xfId="0" applyNumberFormat="1" applyFont="1"/>
    <xf numFmtId="0" fontId="1" fillId="0" borderId="0" xfId="0" applyFont="1" applyBorder="1"/>
    <xf numFmtId="3" fontId="2" fillId="0" borderId="0" xfId="0" applyNumberFormat="1" applyFont="1"/>
    <xf numFmtId="0" fontId="5" fillId="0" borderId="0" xfId="0" applyFont="1"/>
    <xf numFmtId="9" fontId="6" fillId="0" borderId="0" xfId="0" applyNumberFormat="1" applyFont="1"/>
    <xf numFmtId="9" fontId="4" fillId="0" borderId="0" xfId="0" applyNumberFormat="1" applyFont="1"/>
    <xf numFmtId="9" fontId="7" fillId="0" borderId="0" xfId="0" applyNumberFormat="1" applyFont="1"/>
    <xf numFmtId="164" fontId="6" fillId="0" borderId="2" xfId="0" applyNumberFormat="1" applyFont="1" applyBorder="1"/>
    <xf numFmtId="0" fontId="1" fillId="0" borderId="3" xfId="0" applyFont="1" applyBorder="1"/>
    <xf numFmtId="0" fontId="1" fillId="0" borderId="5" xfId="0" applyFont="1" applyBorder="1"/>
    <xf numFmtId="6" fontId="1" fillId="0" borderId="4" xfId="0" applyNumberFormat="1" applyFont="1" applyBorder="1"/>
    <xf numFmtId="6" fontId="2" fillId="0" borderId="0" xfId="0" applyNumberFormat="1" applyFont="1" applyBorder="1"/>
    <xf numFmtId="165" fontId="1" fillId="0" borderId="0" xfId="0" applyNumberFormat="1" applyFont="1"/>
    <xf numFmtId="0" fontId="11" fillId="0" borderId="3" xfId="0" applyFont="1" applyFill="1" applyBorder="1"/>
    <xf numFmtId="0" fontId="11" fillId="0" borderId="7" xfId="0" applyFont="1" applyFill="1" applyBorder="1"/>
    <xf numFmtId="0" fontId="11" fillId="0" borderId="4" xfId="0" applyFont="1" applyFill="1" applyBorder="1"/>
    <xf numFmtId="0" fontId="11" fillId="0" borderId="0" xfId="0" applyFont="1" applyFill="1"/>
    <xf numFmtId="0" fontId="11" fillId="0" borderId="8" xfId="0" applyFont="1" applyFill="1" applyBorder="1"/>
    <xf numFmtId="0" fontId="11" fillId="0" borderId="0" xfId="0" applyFont="1" applyFill="1" applyBorder="1"/>
    <xf numFmtId="0" fontId="11" fillId="0" borderId="9" xfId="0" applyFont="1" applyFill="1" applyBorder="1"/>
    <xf numFmtId="0" fontId="11" fillId="0" borderId="8" xfId="0" applyFont="1" applyFill="1" applyBorder="1" applyAlignment="1">
      <alignment horizontal="right"/>
    </xf>
    <xf numFmtId="166" fontId="11" fillId="0" borderId="0" xfId="2" applyNumberFormat="1" applyFont="1" applyFill="1" applyBorder="1"/>
    <xf numFmtId="166" fontId="11" fillId="0" borderId="9" xfId="2" applyNumberFormat="1" applyFont="1" applyFill="1" applyBorder="1"/>
    <xf numFmtId="0" fontId="11" fillId="0" borderId="3" xfId="0" applyFont="1" applyFill="1" applyBorder="1" applyAlignment="1">
      <alignment horizontal="right"/>
    </xf>
    <xf numFmtId="0" fontId="11" fillId="0" borderId="7" xfId="0" applyFont="1" applyFill="1" applyBorder="1" applyAlignment="1">
      <alignment horizontal="right"/>
    </xf>
    <xf numFmtId="0" fontId="11" fillId="0" borderId="4" xfId="0" applyFont="1" applyFill="1" applyBorder="1" applyAlignment="1">
      <alignment horizontal="left"/>
    </xf>
    <xf numFmtId="0" fontId="11" fillId="0" borderId="0" xfId="0" applyFont="1" applyFill="1" applyBorder="1" applyAlignment="1">
      <alignment horizontal="right"/>
    </xf>
    <xf numFmtId="0" fontId="11" fillId="0" borderId="9"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right"/>
    </xf>
    <xf numFmtId="0" fontId="12" fillId="0" borderId="9" xfId="0" applyFont="1" applyFill="1" applyBorder="1" applyAlignment="1">
      <alignment horizontal="left"/>
    </xf>
    <xf numFmtId="0" fontId="11" fillId="0" borderId="5" xfId="0" applyFont="1" applyFill="1" applyBorder="1"/>
    <xf numFmtId="0" fontId="12" fillId="0" borderId="1" xfId="0" applyFont="1" applyFill="1" applyBorder="1" applyAlignment="1">
      <alignment horizontal="right"/>
    </xf>
    <xf numFmtId="0" fontId="12" fillId="0" borderId="6" xfId="0" applyFont="1" applyFill="1" applyBorder="1" applyAlignment="1">
      <alignment horizontal="left"/>
    </xf>
    <xf numFmtId="0" fontId="12" fillId="0" borderId="7"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xf numFmtId="44" fontId="11" fillId="0" borderId="0" xfId="2" applyFont="1" applyFill="1" applyBorder="1" applyAlignment="1">
      <alignment horizontal="left"/>
    </xf>
    <xf numFmtId="44" fontId="11" fillId="0" borderId="0" xfId="2" applyFont="1" applyFill="1" applyBorder="1"/>
    <xf numFmtId="44" fontId="11" fillId="0" borderId="9" xfId="2" applyFont="1" applyFill="1" applyBorder="1"/>
    <xf numFmtId="9" fontId="11" fillId="0" borderId="0" xfId="3" applyFont="1" applyFill="1" applyBorder="1"/>
    <xf numFmtId="0" fontId="11" fillId="0" borderId="1" xfId="0" applyFont="1" applyFill="1" applyBorder="1"/>
    <xf numFmtId="0" fontId="11" fillId="0" borderId="6" xfId="0" applyFont="1" applyFill="1" applyBorder="1"/>
    <xf numFmtId="0" fontId="13" fillId="0" borderId="3" xfId="0" applyFont="1" applyFill="1" applyBorder="1"/>
    <xf numFmtId="167" fontId="11" fillId="0" borderId="9" xfId="1" applyNumberFormat="1" applyFont="1" applyFill="1" applyBorder="1"/>
    <xf numFmtId="167" fontId="11" fillId="0" borderId="0" xfId="1" applyNumberFormat="1" applyFont="1" applyFill="1" applyBorder="1"/>
    <xf numFmtId="9" fontId="11" fillId="0" borderId="9" xfId="3" applyFont="1" applyFill="1" applyBorder="1"/>
    <xf numFmtId="167" fontId="11" fillId="0" borderId="9" xfId="0" applyNumberFormat="1" applyFont="1" applyFill="1" applyBorder="1"/>
    <xf numFmtId="167" fontId="11" fillId="0" borderId="0" xfId="0" applyNumberFormat="1" applyFont="1" applyFill="1" applyBorder="1"/>
    <xf numFmtId="0" fontId="12" fillId="0" borderId="3" xfId="0" applyFont="1" applyFill="1" applyBorder="1"/>
    <xf numFmtId="167" fontId="11" fillId="0" borderId="0" xfId="1" applyNumberFormat="1" applyFont="1" applyFill="1"/>
    <xf numFmtId="6" fontId="11" fillId="0" borderId="0" xfId="0" applyNumberFormat="1" applyFont="1" applyFill="1"/>
    <xf numFmtId="167" fontId="11" fillId="0" borderId="0" xfId="0" applyNumberFormat="1" applyFont="1" applyFill="1"/>
    <xf numFmtId="6" fontId="11" fillId="0" borderId="0" xfId="0" applyNumberFormat="1" applyFont="1" applyFill="1" applyBorder="1"/>
    <xf numFmtId="0" fontId="12" fillId="0" borderId="0" xfId="0" applyFont="1" applyFill="1" applyAlignment="1">
      <alignment horizontal="center"/>
    </xf>
    <xf numFmtId="0" fontId="12" fillId="0" borderId="0" xfId="0" applyFont="1" applyFill="1"/>
    <xf numFmtId="17" fontId="12" fillId="0" borderId="0" xfId="0" applyNumberFormat="1" applyFont="1" applyFill="1" applyAlignment="1">
      <alignment horizontal="center"/>
    </xf>
    <xf numFmtId="17" fontId="12" fillId="0" borderId="9" xfId="0" applyNumberFormat="1"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12" fillId="0" borderId="0" xfId="0" applyFont="1" applyFill="1" applyAlignment="1">
      <alignment horizontal="left"/>
    </xf>
    <xf numFmtId="17" fontId="12" fillId="0" borderId="0" xfId="0" applyNumberFormat="1" applyFont="1" applyFill="1" applyBorder="1" applyAlignment="1">
      <alignment horizontal="center"/>
    </xf>
    <xf numFmtId="0" fontId="11" fillId="0" borderId="0" xfId="0" applyFont="1" applyFill="1" applyBorder="1" applyAlignment="1">
      <alignment horizontal="center"/>
    </xf>
    <xf numFmtId="167" fontId="11" fillId="0" borderId="9" xfId="0" applyNumberFormat="1" applyFont="1" applyFill="1" applyBorder="1" applyAlignment="1">
      <alignment horizontal="center"/>
    </xf>
    <xf numFmtId="0" fontId="12" fillId="0" borderId="1" xfId="0" applyFont="1" applyFill="1" applyBorder="1" applyAlignment="1">
      <alignment horizontal="center"/>
    </xf>
    <xf numFmtId="0" fontId="19" fillId="0" borderId="0" xfId="0" applyFont="1" applyFill="1" applyBorder="1" applyAlignment="1">
      <alignment horizontal="center" vertical="center" textRotation="90"/>
    </xf>
    <xf numFmtId="0" fontId="0" fillId="0" borderId="0" xfId="0" applyFill="1" applyBorder="1"/>
    <xf numFmtId="0" fontId="0" fillId="0" borderId="9" xfId="0" applyFill="1" applyBorder="1"/>
    <xf numFmtId="0" fontId="0" fillId="0" borderId="0" xfId="0" applyFill="1"/>
    <xf numFmtId="167" fontId="11" fillId="0" borderId="10" xfId="0" applyNumberFormat="1" applyFont="1" applyFill="1" applyBorder="1"/>
    <xf numFmtId="167" fontId="11" fillId="0" borderId="11" xfId="0" applyNumberFormat="1" applyFont="1" applyFill="1" applyBorder="1"/>
    <xf numFmtId="0" fontId="0" fillId="0" borderId="0" xfId="0" applyFill="1" applyAlignment="1">
      <alignment horizontal="right"/>
    </xf>
    <xf numFmtId="167" fontId="0" fillId="0" borderId="0" xfId="0" applyNumberFormat="1" applyFill="1"/>
    <xf numFmtId="167" fontId="0" fillId="0" borderId="9" xfId="0" applyNumberFormat="1" applyFill="1" applyBorder="1"/>
    <xf numFmtId="0" fontId="12" fillId="0" borderId="0" xfId="4" applyFont="1" applyFill="1"/>
    <xf numFmtId="0" fontId="11" fillId="0" borderId="0" xfId="4" applyFont="1" applyFill="1"/>
    <xf numFmtId="0" fontId="12" fillId="0" borderId="14" xfId="4" applyFont="1" applyFill="1" applyBorder="1" applyAlignment="1">
      <alignment horizontal="center"/>
    </xf>
    <xf numFmtId="0" fontId="11" fillId="0" borderId="14" xfId="4" applyFont="1" applyFill="1" applyBorder="1"/>
    <xf numFmtId="0" fontId="12" fillId="0" borderId="0" xfId="4" applyFont="1" applyFill="1" applyAlignment="1">
      <alignment horizontal="right"/>
    </xf>
    <xf numFmtId="14" fontId="12" fillId="0" borderId="15" xfId="4" applyNumberFormat="1" applyFont="1" applyFill="1" applyBorder="1" applyAlignment="1">
      <alignment horizontal="center"/>
    </xf>
    <xf numFmtId="14" fontId="11" fillId="0" borderId="15" xfId="4" applyNumberFormat="1" applyFont="1" applyFill="1" applyBorder="1" applyAlignment="1">
      <alignment horizontal="center"/>
    </xf>
    <xf numFmtId="0" fontId="12" fillId="0" borderId="16" xfId="4" applyFont="1" applyFill="1" applyBorder="1" applyAlignment="1">
      <alignment horizontal="center"/>
    </xf>
    <xf numFmtId="0" fontId="11" fillId="0" borderId="16" xfId="4" applyFont="1" applyFill="1" applyBorder="1" applyAlignment="1">
      <alignment horizontal="center"/>
    </xf>
    <xf numFmtId="0" fontId="11" fillId="0" borderId="16" xfId="4" applyFont="1" applyFill="1" applyBorder="1"/>
    <xf numFmtId="0" fontId="11" fillId="0" borderId="17" xfId="4" applyFont="1" applyFill="1" applyBorder="1"/>
    <xf numFmtId="0" fontId="21" fillId="0" borderId="2" xfId="4" applyFont="1" applyFill="1" applyBorder="1" applyAlignment="1">
      <alignment horizontal="center"/>
    </xf>
    <xf numFmtId="0" fontId="11" fillId="0" borderId="2" xfId="4" applyFont="1" applyFill="1" applyBorder="1" applyAlignment="1">
      <alignment horizontal="center"/>
    </xf>
    <xf numFmtId="0" fontId="11" fillId="0" borderId="0" xfId="4" applyFont="1" applyFill="1" applyAlignment="1">
      <alignment horizontal="left"/>
    </xf>
    <xf numFmtId="166" fontId="11" fillId="0" borderId="16" xfId="5" applyNumberFormat="1" applyFont="1" applyFill="1" applyBorder="1"/>
    <xf numFmtId="9" fontId="11" fillId="0" borderId="0" xfId="3" applyFont="1" applyFill="1"/>
    <xf numFmtId="166" fontId="11" fillId="0" borderId="16" xfId="5" applyNumberFormat="1" applyFont="1" applyFill="1" applyBorder="1" applyAlignment="1">
      <alignment horizontal="right"/>
    </xf>
    <xf numFmtId="0" fontId="11" fillId="0" borderId="18" xfId="4" applyFont="1" applyFill="1" applyBorder="1"/>
    <xf numFmtId="166" fontId="22" fillId="0" borderId="19" xfId="5" applyNumberFormat="1" applyFont="1" applyFill="1" applyBorder="1"/>
    <xf numFmtId="0" fontId="23" fillId="0" borderId="0" xfId="4" applyFont="1" applyFill="1"/>
    <xf numFmtId="166" fontId="24" fillId="0" borderId="16" xfId="5" applyNumberFormat="1" applyFont="1" applyFill="1" applyBorder="1"/>
    <xf numFmtId="166" fontId="25" fillId="0" borderId="16" xfId="5" applyNumberFormat="1" applyFont="1" applyFill="1" applyBorder="1"/>
    <xf numFmtId="0" fontId="25" fillId="0" borderId="0" xfId="4" applyFont="1" applyFill="1"/>
    <xf numFmtId="0" fontId="11" fillId="0" borderId="0" xfId="4" applyFont="1" applyFill="1" applyBorder="1"/>
    <xf numFmtId="0" fontId="12" fillId="0" borderId="0" xfId="0" applyFont="1" applyAlignment="1">
      <alignment horizontal="right"/>
    </xf>
    <xf numFmtId="0" fontId="12" fillId="0" borderId="0" xfId="0" applyFont="1"/>
    <xf numFmtId="0" fontId="22" fillId="0" borderId="0" xfId="4" applyFont="1" applyFill="1" applyBorder="1" applyAlignment="1">
      <alignment horizontal="right"/>
    </xf>
    <xf numFmtId="9" fontId="0" fillId="0" borderId="0" xfId="3" applyFont="1"/>
    <xf numFmtId="0" fontId="11" fillId="0" borderId="0" xfId="4" applyFont="1" applyFill="1" applyBorder="1" applyAlignment="1">
      <alignment horizontal="right"/>
    </xf>
    <xf numFmtId="166" fontId="11" fillId="0" borderId="2" xfId="5" applyNumberFormat="1" applyFont="1" applyFill="1" applyBorder="1"/>
    <xf numFmtId="9" fontId="11" fillId="0" borderId="16" xfId="3" applyFont="1" applyFill="1" applyBorder="1"/>
    <xf numFmtId="0" fontId="12" fillId="0" borderId="20" xfId="4" applyFont="1" applyFill="1" applyBorder="1"/>
    <xf numFmtId="166" fontId="12" fillId="0" borderId="21" xfId="5" applyNumberFormat="1" applyFont="1" applyFill="1" applyBorder="1"/>
    <xf numFmtId="166" fontId="11" fillId="0" borderId="21" xfId="5" applyNumberFormat="1" applyFont="1" applyFill="1" applyBorder="1"/>
    <xf numFmtId="167" fontId="22" fillId="0" borderId="0" xfId="6" applyNumberFormat="1" applyFont="1" applyFill="1" applyAlignment="1">
      <alignment horizontal="right"/>
    </xf>
    <xf numFmtId="9" fontId="12" fillId="0" borderId="16" xfId="7" applyFont="1" applyFill="1" applyBorder="1"/>
    <xf numFmtId="167" fontId="11" fillId="0" borderId="0" xfId="6" applyNumberFormat="1" applyFont="1" applyFill="1"/>
    <xf numFmtId="10" fontId="11" fillId="0" borderId="16" xfId="7" applyNumberFormat="1" applyFont="1" applyFill="1" applyBorder="1"/>
    <xf numFmtId="0" fontId="12" fillId="0" borderId="1" xfId="4" applyFont="1" applyFill="1" applyBorder="1"/>
    <xf numFmtId="9" fontId="11" fillId="0" borderId="0" xfId="3" applyNumberFormat="1" applyFont="1" applyFill="1"/>
    <xf numFmtId="166" fontId="12" fillId="0" borderId="16" xfId="5" applyNumberFormat="1" applyFont="1" applyFill="1" applyBorder="1"/>
    <xf numFmtId="9" fontId="12" fillId="0" borderId="20" xfId="3" applyFont="1" applyFill="1" applyBorder="1"/>
    <xf numFmtId="0" fontId="12" fillId="0" borderId="0" xfId="4" applyFont="1" applyFill="1" applyBorder="1"/>
    <xf numFmtId="6" fontId="12" fillId="0" borderId="16" xfId="5" applyNumberFormat="1" applyFont="1" applyFill="1" applyBorder="1"/>
    <xf numFmtId="0" fontId="26" fillId="0" borderId="0" xfId="4" applyFont="1" applyFill="1"/>
    <xf numFmtId="0" fontId="12" fillId="0" borderId="17" xfId="4" applyFont="1" applyFill="1" applyBorder="1" applyAlignment="1">
      <alignment horizontal="left"/>
    </xf>
    <xf numFmtId="166" fontId="12" fillId="0" borderId="17" xfId="7" applyNumberFormat="1" applyFont="1" applyFill="1" applyBorder="1" applyAlignment="1">
      <alignment horizontal="right"/>
    </xf>
    <xf numFmtId="9" fontId="26" fillId="0" borderId="0" xfId="3" applyFont="1" applyFill="1"/>
    <xf numFmtId="9" fontId="11" fillId="0" borderId="0" xfId="7" applyFont="1" applyFill="1"/>
    <xf numFmtId="166" fontId="11" fillId="0" borderId="0" xfId="5" applyNumberFormat="1" applyFont="1" applyFill="1" applyBorder="1"/>
    <xf numFmtId="166" fontId="11" fillId="0" borderId="0" xfId="5" applyNumberFormat="1" applyFont="1" applyFill="1" applyBorder="1" applyAlignment="1">
      <alignment horizontal="center"/>
    </xf>
    <xf numFmtId="0" fontId="11" fillId="0" borderId="0" xfId="4" applyFont="1" applyFill="1" applyAlignment="1">
      <alignment horizontal="center"/>
    </xf>
    <xf numFmtId="0" fontId="11" fillId="0" borderId="10" xfId="4" applyFont="1" applyFill="1" applyBorder="1"/>
    <xf numFmtId="166" fontId="12" fillId="0" borderId="10" xfId="4" applyNumberFormat="1" applyFont="1" applyFill="1" applyBorder="1"/>
    <xf numFmtId="166" fontId="11" fillId="0" borderId="10" xfId="4" applyNumberFormat="1" applyFont="1" applyFill="1" applyBorder="1"/>
    <xf numFmtId="166" fontId="12" fillId="0" borderId="10" xfId="4" applyNumberFormat="1" applyFont="1" applyFill="1" applyBorder="1" applyAlignment="1">
      <alignment horizontal="center"/>
    </xf>
    <xf numFmtId="166" fontId="12" fillId="0" borderId="0" xfId="4" applyNumberFormat="1" applyFont="1" applyFill="1"/>
    <xf numFmtId="0" fontId="12" fillId="0" borderId="1" xfId="4" applyFont="1" applyFill="1" applyBorder="1" applyAlignment="1">
      <alignment horizontal="center"/>
    </xf>
    <xf numFmtId="0" fontId="12" fillId="0" borderId="0" xfId="4" applyFont="1" applyFill="1" applyBorder="1" applyAlignment="1">
      <alignment horizontal="center"/>
    </xf>
    <xf numFmtId="0" fontId="11" fillId="0" borderId="3" xfId="4" applyFont="1" applyFill="1" applyBorder="1"/>
    <xf numFmtId="0" fontId="12" fillId="0" borderId="7" xfId="4" applyFont="1" applyFill="1" applyBorder="1" applyAlignment="1">
      <alignment horizontal="right"/>
    </xf>
    <xf numFmtId="14" fontId="12" fillId="0" borderId="4" xfId="4" applyNumberFormat="1" applyFont="1" applyFill="1" applyBorder="1" applyAlignment="1">
      <alignment horizontal="center"/>
    </xf>
    <xf numFmtId="14" fontId="11" fillId="0" borderId="22" xfId="4" applyNumberFormat="1" applyFont="1" applyFill="1" applyBorder="1" applyAlignment="1">
      <alignment horizontal="center"/>
    </xf>
    <xf numFmtId="14" fontId="11" fillId="0" borderId="23" xfId="4" applyNumberFormat="1" applyFont="1" applyFill="1" applyBorder="1" applyAlignment="1">
      <alignment horizontal="center"/>
    </xf>
    <xf numFmtId="14" fontId="12" fillId="0" borderId="7" xfId="4" applyNumberFormat="1" applyFont="1" applyFill="1" applyBorder="1"/>
    <xf numFmtId="14" fontId="12" fillId="0" borderId="4" xfId="4" applyNumberFormat="1" applyFont="1" applyFill="1" applyBorder="1"/>
    <xf numFmtId="0" fontId="11" fillId="0" borderId="8" xfId="4" applyFont="1" applyFill="1" applyBorder="1"/>
    <xf numFmtId="42" fontId="12" fillId="0" borderId="9" xfId="8" applyFont="1" applyFill="1" applyBorder="1" applyAlignment="1">
      <alignment horizontal="right"/>
    </xf>
    <xf numFmtId="42" fontId="12" fillId="0" borderId="0" xfId="8" applyFont="1" applyFill="1" applyBorder="1" applyAlignment="1">
      <alignment horizontal="right"/>
    </xf>
    <xf numFmtId="0" fontId="11" fillId="0" borderId="9" xfId="4" applyFont="1" applyFill="1" applyBorder="1"/>
    <xf numFmtId="42" fontId="12" fillId="0" borderId="11" xfId="8" applyFont="1" applyFill="1" applyBorder="1" applyAlignment="1">
      <alignment horizontal="right"/>
    </xf>
    <xf numFmtId="42" fontId="12" fillId="0" borderId="10" xfId="8" applyFont="1" applyFill="1" applyBorder="1" applyAlignment="1">
      <alignment horizontal="right"/>
    </xf>
    <xf numFmtId="42" fontId="12" fillId="0" borderId="10" xfId="4" applyNumberFormat="1" applyFont="1" applyFill="1" applyBorder="1"/>
    <xf numFmtId="42" fontId="12" fillId="0" borderId="11" xfId="4" applyNumberFormat="1" applyFont="1" applyFill="1" applyBorder="1"/>
    <xf numFmtId="0" fontId="11" fillId="0" borderId="24" xfId="4" applyFont="1" applyFill="1" applyBorder="1"/>
    <xf numFmtId="166" fontId="11" fillId="0" borderId="25" xfId="5" applyNumberFormat="1" applyFont="1" applyFill="1" applyBorder="1"/>
    <xf numFmtId="166" fontId="11" fillId="0" borderId="26" xfId="5" applyNumberFormat="1" applyFont="1" applyFill="1" applyBorder="1"/>
    <xf numFmtId="166" fontId="11" fillId="0" borderId="9" xfId="5" applyNumberFormat="1" applyFont="1" applyFill="1" applyBorder="1"/>
    <xf numFmtId="0" fontId="11" fillId="0" borderId="27" xfId="4" applyFont="1" applyFill="1" applyBorder="1"/>
    <xf numFmtId="42" fontId="11" fillId="0" borderId="9" xfId="8" applyFont="1" applyFill="1" applyBorder="1"/>
    <xf numFmtId="42" fontId="11" fillId="0" borderId="0" xfId="8" applyFont="1" applyFill="1" applyBorder="1"/>
    <xf numFmtId="42" fontId="11" fillId="0" borderId="9" xfId="8" applyFont="1" applyFill="1" applyBorder="1" applyAlignment="1">
      <alignment horizontal="right"/>
    </xf>
    <xf numFmtId="42" fontId="11" fillId="0" borderId="0" xfId="8" applyFont="1" applyFill="1" applyBorder="1" applyAlignment="1">
      <alignment horizontal="right"/>
    </xf>
    <xf numFmtId="166" fontId="11" fillId="0" borderId="0" xfId="5" applyNumberFormat="1" applyFont="1" applyFill="1" applyBorder="1" applyAlignment="1">
      <alignment horizontal="right"/>
    </xf>
    <xf numFmtId="166" fontId="11" fillId="0" borderId="9" xfId="5" applyNumberFormat="1" applyFont="1" applyFill="1" applyBorder="1" applyAlignment="1">
      <alignment horizontal="right"/>
    </xf>
    <xf numFmtId="0" fontId="27" fillId="0" borderId="27" xfId="4" applyFont="1" applyFill="1" applyBorder="1"/>
    <xf numFmtId="0" fontId="11" fillId="0" borderId="27" xfId="4" applyFont="1" applyFill="1" applyBorder="1" applyAlignment="1">
      <alignment horizontal="right"/>
    </xf>
    <xf numFmtId="42" fontId="11" fillId="0" borderId="28" xfId="8" applyFont="1" applyFill="1" applyBorder="1"/>
    <xf numFmtId="42" fontId="11" fillId="0" borderId="18" xfId="8" applyFont="1" applyFill="1" applyBorder="1"/>
    <xf numFmtId="166" fontId="11" fillId="0" borderId="18" xfId="5" applyNumberFormat="1" applyFont="1" applyFill="1" applyBorder="1"/>
    <xf numFmtId="166" fontId="11" fillId="0" borderId="28" xfId="5" applyNumberFormat="1" applyFont="1" applyFill="1" applyBorder="1"/>
    <xf numFmtId="42" fontId="11" fillId="0" borderId="9" xfId="8" applyNumberFormat="1" applyFont="1" applyFill="1" applyBorder="1"/>
    <xf numFmtId="42" fontId="11" fillId="0" borderId="0" xfId="8" applyNumberFormat="1" applyFont="1" applyFill="1" applyBorder="1"/>
    <xf numFmtId="42" fontId="12" fillId="0" borderId="9" xfId="8" applyFont="1" applyFill="1" applyBorder="1"/>
    <xf numFmtId="42" fontId="12" fillId="0" borderId="0" xfId="8" applyFont="1" applyFill="1" applyBorder="1"/>
    <xf numFmtId="0" fontId="12" fillId="0" borderId="29" xfId="4" applyFont="1" applyFill="1" applyBorder="1"/>
    <xf numFmtId="42" fontId="12" fillId="0" borderId="30" xfId="8" applyFont="1" applyFill="1" applyBorder="1"/>
    <xf numFmtId="42" fontId="11" fillId="0" borderId="20" xfId="8" applyFont="1" applyFill="1" applyBorder="1"/>
    <xf numFmtId="42" fontId="12" fillId="0" borderId="20" xfId="8" applyFont="1" applyFill="1" applyBorder="1"/>
    <xf numFmtId="0" fontId="12" fillId="0" borderId="5" xfId="4" applyFont="1" applyFill="1" applyBorder="1"/>
    <xf numFmtId="0" fontId="12" fillId="0" borderId="17" xfId="4" applyFont="1" applyFill="1" applyBorder="1" applyAlignment="1">
      <alignment horizontal="right"/>
    </xf>
    <xf numFmtId="42" fontId="12" fillId="0" borderId="31" xfId="8" applyFont="1" applyFill="1" applyBorder="1"/>
    <xf numFmtId="42" fontId="11" fillId="0" borderId="17" xfId="8" applyFont="1" applyFill="1" applyBorder="1"/>
    <xf numFmtId="42" fontId="12" fillId="0" borderId="17" xfId="8" applyFont="1" applyFill="1" applyBorder="1"/>
    <xf numFmtId="6" fontId="11" fillId="0" borderId="0" xfId="4" applyNumberFormat="1" applyFont="1" applyFill="1" applyBorder="1"/>
    <xf numFmtId="0" fontId="29" fillId="0" borderId="0" xfId="9" applyNumberFormat="1" applyFont="1" applyFill="1" applyAlignment="1"/>
    <xf numFmtId="0" fontId="9" fillId="0" borderId="0" xfId="9"/>
    <xf numFmtId="14" fontId="28" fillId="0" borderId="1" xfId="10" applyNumberFormat="1" applyFont="1" applyFill="1" applyBorder="1" applyAlignment="1">
      <alignment horizontal="center"/>
    </xf>
    <xf numFmtId="0" fontId="10" fillId="0" borderId="0" xfId="9" applyFont="1" applyAlignment="1">
      <alignment horizontal="center"/>
    </xf>
    <xf numFmtId="0" fontId="10" fillId="0" borderId="0" xfId="9" applyFont="1"/>
    <xf numFmtId="0" fontId="9" fillId="0" borderId="0" xfId="9" applyAlignment="1">
      <alignment horizontal="left" indent="1"/>
    </xf>
    <xf numFmtId="166" fontId="0" fillId="0" borderId="0" xfId="11" applyNumberFormat="1" applyFont="1"/>
    <xf numFmtId="167" fontId="0" fillId="0" borderId="0" xfId="12" applyNumberFormat="1" applyFont="1"/>
    <xf numFmtId="167" fontId="0" fillId="0" borderId="10" xfId="12" applyNumberFormat="1" applyFont="1" applyBorder="1"/>
    <xf numFmtId="9" fontId="0" fillId="0" borderId="0" xfId="13" applyFont="1"/>
    <xf numFmtId="0" fontId="9" fillId="0" borderId="0" xfId="9" applyFont="1" applyAlignment="1">
      <alignment horizontal="left" indent="1"/>
    </xf>
    <xf numFmtId="167" fontId="9" fillId="0" borderId="0" xfId="9" applyNumberFormat="1"/>
    <xf numFmtId="166" fontId="9" fillId="0" borderId="10" xfId="9" applyNumberFormat="1" applyBorder="1"/>
    <xf numFmtId="167" fontId="0" fillId="0" borderId="1" xfId="12" applyNumberFormat="1" applyFont="1" applyBorder="1"/>
    <xf numFmtId="167" fontId="0" fillId="0" borderId="0" xfId="12" applyNumberFormat="1" applyFont="1" applyBorder="1"/>
    <xf numFmtId="166" fontId="0" fillId="0" borderId="10" xfId="11" applyNumberFormat="1" applyFont="1" applyBorder="1"/>
    <xf numFmtId="166" fontId="9" fillId="0" borderId="0" xfId="9" applyNumberFormat="1"/>
    <xf numFmtId="0" fontId="31" fillId="0" borderId="0" xfId="9" applyFont="1"/>
    <xf numFmtId="0" fontId="9" fillId="0" borderId="0" xfId="9" applyFont="1"/>
    <xf numFmtId="167" fontId="11" fillId="0" borderId="0" xfId="6" applyNumberFormat="1" applyFont="1" applyFill="1" applyAlignment="1">
      <alignment horizontal="right"/>
    </xf>
    <xf numFmtId="167" fontId="11" fillId="0" borderId="0" xfId="6" applyNumberFormat="1" applyFont="1" applyFill="1" applyAlignment="1">
      <alignment horizontal="center"/>
    </xf>
    <xf numFmtId="167" fontId="11" fillId="0" borderId="9" xfId="6" applyNumberFormat="1" applyFont="1" applyFill="1" applyBorder="1" applyAlignment="1">
      <alignment horizontal="center"/>
    </xf>
    <xf numFmtId="167" fontId="11" fillId="0" borderId="0" xfId="6" applyNumberFormat="1" applyFont="1" applyFill="1" applyBorder="1" applyAlignment="1">
      <alignment horizontal="center"/>
    </xf>
    <xf numFmtId="167" fontId="17" fillId="0" borderId="1" xfId="6" applyNumberFormat="1" applyFont="1" applyFill="1" applyBorder="1" applyAlignment="1">
      <alignment horizontal="right"/>
    </xf>
    <xf numFmtId="167" fontId="12" fillId="0" borderId="1" xfId="6" applyNumberFormat="1" applyFont="1" applyFill="1" applyBorder="1" applyAlignment="1">
      <alignment horizontal="center"/>
    </xf>
    <xf numFmtId="167" fontId="12" fillId="0" borderId="1" xfId="6" applyNumberFormat="1" applyFont="1" applyFill="1" applyBorder="1" applyAlignment="1">
      <alignment horizontal="right"/>
    </xf>
    <xf numFmtId="167" fontId="12" fillId="0" borderId="6" xfId="6" applyNumberFormat="1" applyFont="1" applyFill="1" applyBorder="1" applyAlignment="1">
      <alignment horizontal="center"/>
    </xf>
    <xf numFmtId="167" fontId="11" fillId="0" borderId="7" xfId="6" applyNumberFormat="1" applyFont="1" applyFill="1" applyBorder="1" applyAlignment="1">
      <alignment horizontal="right"/>
    </xf>
    <xf numFmtId="167" fontId="11" fillId="0" borderId="7" xfId="6" applyNumberFormat="1" applyFont="1" applyFill="1" applyBorder="1" applyAlignment="1">
      <alignment horizontal="center"/>
    </xf>
    <xf numFmtId="167" fontId="11" fillId="0" borderId="4" xfId="6" applyNumberFormat="1" applyFont="1" applyFill="1" applyBorder="1" applyAlignment="1">
      <alignment horizontal="center"/>
    </xf>
    <xf numFmtId="167" fontId="11" fillId="0" borderId="0" xfId="6" applyNumberFormat="1" applyFont="1" applyFill="1" applyBorder="1" applyAlignment="1">
      <alignment horizontal="right"/>
    </xf>
    <xf numFmtId="167" fontId="0" fillId="0" borderId="0" xfId="6" applyNumberFormat="1" applyFont="1" applyFill="1" applyBorder="1" applyAlignment="1">
      <alignment horizontal="center"/>
    </xf>
    <xf numFmtId="167" fontId="0" fillId="0" borderId="9" xfId="6" applyNumberFormat="1" applyFont="1" applyFill="1" applyBorder="1" applyAlignment="1">
      <alignment horizontal="center"/>
    </xf>
    <xf numFmtId="167" fontId="0" fillId="0" borderId="1" xfId="6" applyNumberFormat="1" applyFont="1" applyFill="1" applyBorder="1" applyAlignment="1">
      <alignment horizontal="right"/>
    </xf>
    <xf numFmtId="167" fontId="11" fillId="0" borderId="1" xfId="6" applyNumberFormat="1" applyFont="1" applyFill="1" applyBorder="1" applyAlignment="1">
      <alignment horizontal="center"/>
    </xf>
    <xf numFmtId="167" fontId="11" fillId="0" borderId="1" xfId="6" applyNumberFormat="1" applyFont="1" applyFill="1" applyBorder="1" applyAlignment="1">
      <alignment horizontal="right"/>
    </xf>
    <xf numFmtId="167" fontId="11" fillId="0" borderId="6" xfId="6" applyNumberFormat="1" applyFont="1" applyFill="1" applyBorder="1" applyAlignment="1">
      <alignment horizontal="center"/>
    </xf>
    <xf numFmtId="167" fontId="18" fillId="0" borderId="0" xfId="6" applyNumberFormat="1" applyFont="1" applyFill="1" applyAlignment="1">
      <alignment horizontal="center"/>
    </xf>
    <xf numFmtId="167" fontId="18" fillId="0" borderId="0" xfId="6" applyNumberFormat="1" applyFont="1" applyFill="1" applyAlignment="1">
      <alignment horizontal="right"/>
    </xf>
    <xf numFmtId="167" fontId="18" fillId="0" borderId="9" xfId="6" applyNumberFormat="1" applyFont="1" applyFill="1" applyBorder="1" applyAlignment="1">
      <alignment horizontal="center"/>
    </xf>
    <xf numFmtId="167" fontId="11" fillId="0" borderId="9" xfId="6" applyNumberFormat="1" applyFont="1" applyFill="1" applyBorder="1"/>
    <xf numFmtId="167" fontId="12" fillId="0" borderId="10" xfId="6" applyNumberFormat="1" applyFont="1" applyFill="1" applyBorder="1" applyAlignment="1">
      <alignment vertical="center" wrapText="1"/>
    </xf>
    <xf numFmtId="167" fontId="11" fillId="0" borderId="10" xfId="6" applyNumberFormat="1" applyFont="1" applyFill="1" applyBorder="1" applyAlignment="1">
      <alignment horizontal="right"/>
    </xf>
    <xf numFmtId="167" fontId="11" fillId="0" borderId="10" xfId="6" applyNumberFormat="1" applyFont="1" applyFill="1" applyBorder="1" applyAlignment="1">
      <alignment horizontal="center"/>
    </xf>
    <xf numFmtId="167" fontId="11" fillId="0" borderId="11" xfId="6" applyNumberFormat="1" applyFont="1" applyFill="1" applyBorder="1" applyAlignment="1">
      <alignment horizontal="center"/>
    </xf>
    <xf numFmtId="167" fontId="17" fillId="0" borderId="1" xfId="6" applyNumberFormat="1" applyFont="1" applyFill="1" applyBorder="1" applyAlignment="1">
      <alignment horizontal="center"/>
    </xf>
    <xf numFmtId="167" fontId="12" fillId="0" borderId="0" xfId="6" applyNumberFormat="1" applyFont="1" applyFill="1" applyBorder="1" applyAlignment="1">
      <alignment vertical="center" wrapText="1"/>
    </xf>
    <xf numFmtId="167" fontId="17" fillId="0" borderId="0" xfId="6" applyNumberFormat="1" applyFont="1" applyFill="1" applyBorder="1" applyAlignment="1">
      <alignment horizontal="center"/>
    </xf>
    <xf numFmtId="167" fontId="11" fillId="0" borderId="0" xfId="6" applyNumberFormat="1" applyFont="1" applyFill="1" applyBorder="1"/>
    <xf numFmtId="166" fontId="19" fillId="0" borderId="0" xfId="5" applyNumberFormat="1" applyFont="1" applyFill="1" applyBorder="1" applyAlignment="1">
      <alignment horizontal="center" vertical="center" textRotation="90"/>
    </xf>
    <xf numFmtId="166" fontId="11" fillId="0" borderId="9" xfId="5" applyNumberFormat="1" applyFont="1" applyFill="1" applyBorder="1" applyAlignment="1">
      <alignment horizontal="center"/>
    </xf>
    <xf numFmtId="166" fontId="17" fillId="0" borderId="0" xfId="5" applyNumberFormat="1" applyFont="1" applyFill="1" applyBorder="1" applyAlignment="1">
      <alignment horizontal="center"/>
    </xf>
    <xf numFmtId="167" fontId="12" fillId="0" borderId="0" xfId="6" applyNumberFormat="1" applyFont="1" applyFill="1" applyBorder="1" applyAlignment="1">
      <alignment horizontal="center" vertical="center" wrapText="1"/>
    </xf>
    <xf numFmtId="166" fontId="11" fillId="0" borderId="0" xfId="5" applyNumberFormat="1" applyFont="1" applyFill="1" applyAlignment="1">
      <alignment horizontal="center"/>
    </xf>
    <xf numFmtId="167" fontId="12" fillId="0" borderId="0" xfId="6" applyNumberFormat="1" applyFont="1" applyFill="1" applyBorder="1" applyAlignment="1">
      <alignment horizontal="right" wrapText="1"/>
    </xf>
    <xf numFmtId="43" fontId="11" fillId="0" borderId="0" xfId="6" applyNumberFormat="1" applyFont="1" applyFill="1" applyAlignment="1">
      <alignment horizontal="center"/>
    </xf>
    <xf numFmtId="167" fontId="20" fillId="0" borderId="0" xfId="6" applyNumberFormat="1" applyFont="1" applyFill="1" applyAlignment="1">
      <alignment horizontal="right"/>
    </xf>
    <xf numFmtId="167" fontId="0" fillId="0" borderId="0" xfId="6" applyNumberFormat="1" applyFont="1" applyFill="1" applyBorder="1"/>
    <xf numFmtId="167" fontId="0" fillId="0" borderId="9" xfId="6" applyNumberFormat="1" applyFont="1" applyFill="1" applyBorder="1"/>
    <xf numFmtId="167" fontId="12" fillId="0" borderId="10" xfId="6" applyNumberFormat="1" applyFont="1" applyFill="1" applyBorder="1" applyAlignment="1">
      <alignment horizontal="right"/>
    </xf>
    <xf numFmtId="167" fontId="12" fillId="0" borderId="10" xfId="6" applyNumberFormat="1" applyFont="1" applyFill="1" applyBorder="1" applyAlignment="1">
      <alignment horizontal="center"/>
    </xf>
    <xf numFmtId="167" fontId="12" fillId="0" borderId="11" xfId="6" applyNumberFormat="1" applyFont="1" applyFill="1" applyBorder="1" applyAlignment="1">
      <alignment horizontal="center"/>
    </xf>
    <xf numFmtId="167" fontId="11" fillId="0" borderId="10" xfId="6" applyNumberFormat="1" applyFont="1" applyFill="1" applyBorder="1"/>
    <xf numFmtId="167" fontId="11" fillId="0" borderId="11" xfId="6" applyNumberFormat="1" applyFont="1" applyFill="1" applyBorder="1"/>
    <xf numFmtId="9" fontId="18" fillId="0" borderId="0" xfId="7" applyFont="1" applyFill="1" applyBorder="1" applyAlignment="1">
      <alignment horizontal="center"/>
    </xf>
    <xf numFmtId="167" fontId="18" fillId="0" borderId="0" xfId="6" applyNumberFormat="1" applyFont="1" applyFill="1" applyBorder="1" applyAlignment="1">
      <alignment horizontal="center"/>
    </xf>
    <xf numFmtId="166" fontId="0" fillId="0" borderId="0" xfId="5" applyNumberFormat="1" applyFont="1" applyFill="1" applyBorder="1"/>
    <xf numFmtId="166" fontId="0" fillId="0" borderId="9" xfId="5" applyNumberFormat="1" applyFont="1" applyFill="1" applyBorder="1"/>
    <xf numFmtId="44" fontId="0" fillId="0" borderId="0" xfId="5" applyFont="1" applyFill="1" applyBorder="1"/>
    <xf numFmtId="168" fontId="0" fillId="0" borderId="12" xfId="6" applyNumberFormat="1" applyFont="1" applyFill="1" applyBorder="1"/>
    <xf numFmtId="168" fontId="0" fillId="0" borderId="13" xfId="6" applyNumberFormat="1" applyFont="1" applyFill="1" applyBorder="1"/>
    <xf numFmtId="166" fontId="11" fillId="3" borderId="0" xfId="5" applyNumberFormat="1" applyFont="1" applyFill="1" applyBorder="1"/>
    <xf numFmtId="167" fontId="11" fillId="3" borderId="9" xfId="6" applyNumberFormat="1" applyFont="1" applyFill="1" applyBorder="1"/>
    <xf numFmtId="166" fontId="11" fillId="3" borderId="5" xfId="5" applyNumberFormat="1" applyFont="1" applyFill="1" applyBorder="1"/>
    <xf numFmtId="166" fontId="11" fillId="3" borderId="32" xfId="5" applyNumberFormat="1" applyFont="1" applyFill="1" applyBorder="1"/>
    <xf numFmtId="167" fontId="18" fillId="3" borderId="9" xfId="6" applyNumberFormat="1" applyFont="1" applyFill="1" applyBorder="1" applyAlignment="1">
      <alignment horizontal="center"/>
    </xf>
    <xf numFmtId="166" fontId="11" fillId="3" borderId="2" xfId="5" applyNumberFormat="1" applyFont="1" applyFill="1" applyBorder="1"/>
    <xf numFmtId="167" fontId="11" fillId="3" borderId="6" xfId="6" applyNumberFormat="1" applyFont="1" applyFill="1" applyBorder="1"/>
    <xf numFmtId="0" fontId="1" fillId="0" borderId="7" xfId="0" applyFont="1" applyBorder="1"/>
    <xf numFmtId="171" fontId="6" fillId="0" borderId="4" xfId="0" applyNumberFormat="1" applyFont="1" applyBorder="1"/>
    <xf numFmtId="10" fontId="6" fillId="0" borderId="6" xfId="0" applyNumberFormat="1" applyFont="1" applyBorder="1"/>
    <xf numFmtId="6" fontId="2" fillId="0" borderId="7" xfId="0" applyNumberFormat="1" applyFont="1" applyBorder="1"/>
    <xf numFmtId="0" fontId="1" fillId="0" borderId="8" xfId="0" applyFont="1" applyBorder="1"/>
    <xf numFmtId="6" fontId="2" fillId="0" borderId="1" xfId="0" applyNumberFormat="1" applyFont="1" applyBorder="1"/>
    <xf numFmtId="172" fontId="6" fillId="0" borderId="0" xfId="0" applyNumberFormat="1" applyFont="1" applyBorder="1"/>
    <xf numFmtId="6" fontId="33" fillId="0" borderId="7" xfId="0" applyNumberFormat="1" applyFont="1" applyBorder="1"/>
    <xf numFmtId="6" fontId="33" fillId="0" borderId="4" xfId="0" applyNumberFormat="1" applyFont="1" applyBorder="1"/>
    <xf numFmtId="172" fontId="33" fillId="0" borderId="0" xfId="0" applyNumberFormat="1" applyFont="1" applyBorder="1"/>
    <xf numFmtId="6" fontId="1" fillId="0" borderId="0" xfId="0" applyNumberFormat="1" applyFont="1" applyBorder="1"/>
    <xf numFmtId="6" fontId="1" fillId="0" borderId="9" xfId="0" applyNumberFormat="1" applyFont="1" applyBorder="1"/>
    <xf numFmtId="0" fontId="2" fillId="0" borderId="8" xfId="0" applyFont="1" applyBorder="1"/>
    <xf numFmtId="172" fontId="33" fillId="0" borderId="1" xfId="0" applyNumberFormat="1" applyFont="1" applyBorder="1"/>
    <xf numFmtId="172" fontId="33" fillId="0" borderId="6" xfId="0" applyNumberFormat="1" applyFont="1" applyBorder="1"/>
    <xf numFmtId="0" fontId="2" fillId="0" borderId="32" xfId="0" applyFont="1" applyBorder="1"/>
    <xf numFmtId="0" fontId="1" fillId="0" borderId="17" xfId="0" applyFont="1" applyBorder="1"/>
    <xf numFmtId="0" fontId="1" fillId="0" borderId="31" xfId="0" applyFont="1" applyBorder="1"/>
    <xf numFmtId="0" fontId="3" fillId="0" borderId="0" xfId="0" applyFont="1" applyBorder="1" applyAlignment="1">
      <alignment horizontal="left"/>
    </xf>
    <xf numFmtId="170" fontId="8" fillId="0" borderId="0" xfId="0" applyNumberFormat="1" applyFont="1" applyFill="1" applyBorder="1" applyAlignment="1">
      <alignment horizontal="right"/>
    </xf>
    <xf numFmtId="37" fontId="33" fillId="0" borderId="0" xfId="14" applyNumberFormat="1" applyFont="1" applyFill="1" applyBorder="1" applyAlignment="1">
      <alignment horizontal="right"/>
    </xf>
    <xf numFmtId="3" fontId="1" fillId="0" borderId="0" xfId="0" applyNumberFormat="1" applyFont="1" applyFill="1"/>
    <xf numFmtId="3" fontId="1" fillId="0" borderId="1" xfId="0" applyNumberFormat="1" applyFont="1" applyFill="1" applyBorder="1"/>
    <xf numFmtId="0" fontId="1" fillId="0" borderId="0" xfId="0" applyFont="1" applyFill="1"/>
    <xf numFmtId="1" fontId="1" fillId="0" borderId="0" xfId="0" applyNumberFormat="1" applyFont="1"/>
    <xf numFmtId="8" fontId="1" fillId="0" borderId="0" xfId="0" applyNumberFormat="1" applyFont="1"/>
    <xf numFmtId="6" fontId="2" fillId="0" borderId="0" xfId="0" applyNumberFormat="1" applyFont="1"/>
    <xf numFmtId="0" fontId="3" fillId="0" borderId="0" xfId="0" applyFont="1" applyBorder="1"/>
    <xf numFmtId="9" fontId="3" fillId="0" borderId="0" xfId="0" applyNumberFormat="1" applyFont="1"/>
    <xf numFmtId="0" fontId="2" fillId="0" borderId="17" xfId="0" applyFont="1" applyBorder="1"/>
    <xf numFmtId="6" fontId="2" fillId="0" borderId="17" xfId="0" applyNumberFormat="1" applyFont="1" applyBorder="1"/>
    <xf numFmtId="8" fontId="6" fillId="0" borderId="0" xfId="0" applyNumberFormat="1" applyFont="1" applyBorder="1"/>
    <xf numFmtId="0" fontId="6" fillId="0" borderId="2" xfId="0" applyFont="1" applyBorder="1" applyAlignment="1">
      <alignment horizontal="center"/>
    </xf>
    <xf numFmtId="0" fontId="3" fillId="0" borderId="0" xfId="0" applyFont="1" applyFill="1" applyBorder="1"/>
    <xf numFmtId="1" fontId="4" fillId="0" borderId="0" xfId="0" applyNumberFormat="1" applyFont="1"/>
    <xf numFmtId="0" fontId="4" fillId="0" borderId="0" xfId="0" applyFont="1" applyBorder="1" applyAlignment="1">
      <alignment horizontal="center"/>
    </xf>
    <xf numFmtId="1" fontId="7" fillId="0" borderId="0" xfId="0" applyNumberFormat="1" applyFont="1"/>
    <xf numFmtId="0" fontId="1" fillId="0" borderId="32" xfId="0" applyFont="1" applyFill="1" applyBorder="1"/>
    <xf numFmtId="0" fontId="1" fillId="0" borderId="17" xfId="0" applyFont="1" applyFill="1" applyBorder="1"/>
    <xf numFmtId="0" fontId="6" fillId="0" borderId="0" xfId="0" applyFont="1" applyBorder="1"/>
    <xf numFmtId="0" fontId="3" fillId="0" borderId="0" xfId="0" applyFont="1" applyFill="1"/>
    <xf numFmtId="0" fontId="5" fillId="0" borderId="0" xfId="0" applyFont="1" applyFill="1" applyBorder="1"/>
    <xf numFmtId="0" fontId="4" fillId="0" borderId="0" xfId="0" applyFont="1"/>
    <xf numFmtId="0" fontId="7" fillId="0" borderId="0" xfId="0" applyFont="1"/>
    <xf numFmtId="1" fontId="1" fillId="0" borderId="0" xfId="0" applyNumberFormat="1" applyFont="1" applyFill="1"/>
    <xf numFmtId="3" fontId="4" fillId="0" borderId="0" xfId="0" applyNumberFormat="1" applyFont="1"/>
    <xf numFmtId="43" fontId="11" fillId="0" borderId="0" xfId="0" applyNumberFormat="1" applyFont="1" applyFill="1" applyBorder="1"/>
    <xf numFmtId="6" fontId="1" fillId="0" borderId="0" xfId="0" applyNumberFormat="1" applyFont="1"/>
    <xf numFmtId="6" fontId="1" fillId="0" borderId="1" xfId="0" applyNumberFormat="1" applyFont="1" applyBorder="1"/>
    <xf numFmtId="164" fontId="3" fillId="0" borderId="0" xfId="0" applyNumberFormat="1" applyFont="1" applyBorder="1"/>
    <xf numFmtId="9" fontId="36" fillId="0" borderId="0" xfId="0" applyNumberFormat="1" applyFont="1" applyBorder="1"/>
    <xf numFmtId="0" fontId="1" fillId="0" borderId="0" xfId="0" applyFont="1" applyFill="1" applyBorder="1"/>
    <xf numFmtId="0" fontId="37" fillId="0" borderId="0" xfId="0" applyFont="1" applyFill="1" applyBorder="1"/>
    <xf numFmtId="1" fontId="4" fillId="0" borderId="0" xfId="0" applyNumberFormat="1" applyFont="1" applyFill="1"/>
    <xf numFmtId="1" fontId="7" fillId="0" borderId="0" xfId="0" applyNumberFormat="1" applyFont="1" applyFill="1"/>
    <xf numFmtId="0" fontId="3" fillId="0" borderId="16" xfId="0" applyFont="1" applyBorder="1" applyAlignment="1">
      <alignment horizontal="center"/>
    </xf>
    <xf numFmtId="173" fontId="6" fillId="0" borderId="14" xfId="0" applyNumberFormat="1" applyFont="1" applyBorder="1" applyAlignment="1">
      <alignment horizontal="center"/>
    </xf>
    <xf numFmtId="172" fontId="6" fillId="0" borderId="33" xfId="0" applyNumberFormat="1" applyFont="1" applyBorder="1" applyAlignment="1">
      <alignment horizontal="center"/>
    </xf>
    <xf numFmtId="0" fontId="2" fillId="0" borderId="0" xfId="0" applyFont="1" applyFill="1" applyBorder="1"/>
    <xf numFmtId="9" fontId="6" fillId="0" borderId="14" xfId="0" applyNumberFormat="1" applyFont="1" applyFill="1" applyBorder="1" applyAlignment="1">
      <alignment horizontal="center"/>
    </xf>
    <xf numFmtId="6" fontId="1" fillId="0" borderId="0" xfId="0" applyNumberFormat="1" applyFont="1" applyFill="1" applyBorder="1"/>
    <xf numFmtId="9" fontId="6" fillId="0" borderId="16" xfId="0" applyNumberFormat="1" applyFont="1" applyFill="1" applyBorder="1" applyAlignment="1">
      <alignment horizontal="center"/>
    </xf>
    <xf numFmtId="0" fontId="1" fillId="0" borderId="1" xfId="0" applyFont="1" applyFill="1" applyBorder="1"/>
    <xf numFmtId="0" fontId="2" fillId="0" borderId="1" xfId="0" applyFont="1" applyFill="1" applyBorder="1"/>
    <xf numFmtId="9" fontId="6" fillId="0" borderId="33" xfId="0" applyNumberFormat="1" applyFont="1" applyFill="1" applyBorder="1" applyAlignment="1">
      <alignment horizontal="center"/>
    </xf>
    <xf numFmtId="6" fontId="1" fillId="0" borderId="1" xfId="0" applyNumberFormat="1" applyFont="1" applyFill="1" applyBorder="1"/>
    <xf numFmtId="0" fontId="2" fillId="0" borderId="0" xfId="0" applyFont="1" applyFill="1"/>
    <xf numFmtId="6" fontId="2" fillId="0" borderId="0" xfId="0" applyNumberFormat="1" applyFont="1" applyFill="1" applyBorder="1"/>
    <xf numFmtId="164" fontId="3" fillId="0" borderId="0" xfId="3" applyNumberFormat="1" applyFont="1" applyFill="1" applyBorder="1"/>
    <xf numFmtId="9" fontId="4" fillId="0" borderId="0" xfId="0" applyNumberFormat="1" applyFont="1" applyFill="1" applyBorder="1"/>
    <xf numFmtId="9" fontId="3" fillId="0" borderId="0" xfId="0" applyNumberFormat="1" applyFont="1" applyFill="1" applyBorder="1"/>
    <xf numFmtId="164" fontId="3" fillId="0" borderId="0" xfId="0" applyNumberFormat="1" applyFont="1" applyFill="1" applyBorder="1"/>
    <xf numFmtId="164" fontId="4" fillId="0" borderId="0" xfId="3" applyNumberFormat="1" applyFont="1" applyFill="1" applyBorder="1"/>
    <xf numFmtId="164" fontId="7" fillId="0" borderId="0" xfId="3" applyNumberFormat="1" applyFont="1" applyFill="1" applyBorder="1"/>
    <xf numFmtId="6" fontId="1" fillId="0" borderId="6" xfId="0" applyNumberFormat="1" applyFont="1" applyBorder="1"/>
    <xf numFmtId="9" fontId="1" fillId="0" borderId="0" xfId="0" applyNumberFormat="1" applyFont="1"/>
    <xf numFmtId="9" fontId="7" fillId="0" borderId="0" xfId="0" applyNumberFormat="1" applyFont="1" applyFill="1"/>
    <xf numFmtId="9" fontId="4" fillId="0" borderId="0" xfId="0" applyNumberFormat="1" applyFont="1" applyFill="1"/>
    <xf numFmtId="164" fontId="7" fillId="0" borderId="0" xfId="0" applyNumberFormat="1" applyFont="1"/>
    <xf numFmtId="9" fontId="3" fillId="0" borderId="0" xfId="0" applyNumberFormat="1" applyFont="1" applyFill="1"/>
    <xf numFmtId="0" fontId="36" fillId="0" borderId="0" xfId="0" applyFont="1"/>
    <xf numFmtId="3" fontId="38" fillId="0" borderId="0" xfId="0" applyNumberFormat="1" applyFont="1"/>
    <xf numFmtId="3" fontId="2" fillId="0" borderId="0" xfId="0" applyNumberFormat="1" applyFont="1" applyFill="1"/>
    <xf numFmtId="6" fontId="6" fillId="0" borderId="0" xfId="0" applyNumberFormat="1" applyFont="1"/>
    <xf numFmtId="0" fontId="6" fillId="0" borderId="33" xfId="0" applyFont="1" applyBorder="1" applyAlignment="1">
      <alignment horizontal="center"/>
    </xf>
    <xf numFmtId="174" fontId="8" fillId="0" borderId="0" xfId="0" applyNumberFormat="1" applyFont="1" applyFill="1" applyBorder="1" applyAlignment="1">
      <alignment horizontal="right"/>
    </xf>
    <xf numFmtId="0" fontId="40" fillId="0" borderId="0" xfId="0" applyFont="1" applyProtection="1">
      <protection locked="0"/>
    </xf>
    <xf numFmtId="0" fontId="40" fillId="4" borderId="0" xfId="0" applyFont="1" applyFill="1" applyProtection="1">
      <protection locked="0"/>
    </xf>
    <xf numFmtId="0" fontId="41" fillId="0" borderId="34" xfId="0" applyFont="1" applyBorder="1" applyAlignment="1" applyProtection="1">
      <alignment horizontal="center" wrapText="1"/>
      <protection locked="0"/>
    </xf>
    <xf numFmtId="0" fontId="41" fillId="0" borderId="0" xfId="0" applyFont="1" applyAlignment="1" applyProtection="1">
      <alignment horizontal="center"/>
      <protection locked="0"/>
    </xf>
    <xf numFmtId="0" fontId="40" fillId="0" borderId="37" xfId="0" applyFont="1" applyBorder="1" applyAlignment="1" applyProtection="1">
      <alignment horizontal="center"/>
      <protection locked="0"/>
    </xf>
    <xf numFmtId="0" fontId="41" fillId="0" borderId="37" xfId="0" applyFont="1" applyBorder="1" applyAlignment="1" applyProtection="1">
      <alignment horizontal="left"/>
      <protection locked="0"/>
    </xf>
    <xf numFmtId="0" fontId="41" fillId="0" borderId="37" xfId="0" applyFont="1" applyBorder="1" applyAlignment="1" applyProtection="1">
      <alignment horizontal="center" wrapText="1"/>
      <protection locked="0"/>
    </xf>
    <xf numFmtId="0" fontId="40" fillId="0" borderId="37" xfId="0" applyFont="1" applyBorder="1" applyProtection="1">
      <protection locked="0"/>
    </xf>
    <xf numFmtId="3" fontId="40" fillId="0" borderId="37" xfId="0" applyNumberFormat="1" applyFont="1" applyBorder="1" applyAlignment="1" applyProtection="1">
      <alignment horizontal="right"/>
      <protection locked="0"/>
    </xf>
    <xf numFmtId="0" fontId="39" fillId="0" borderId="37" xfId="0" applyFont="1" applyBorder="1" applyAlignment="1" applyProtection="1">
      <alignment horizontal="left" indent="1"/>
      <protection locked="0"/>
    </xf>
    <xf numFmtId="0" fontId="41" fillId="0" borderId="35" xfId="0" applyFont="1" applyBorder="1" applyProtection="1">
      <protection locked="0"/>
    </xf>
    <xf numFmtId="3" fontId="41" fillId="0" borderId="35" xfId="0" applyNumberFormat="1" applyFont="1" applyBorder="1" applyAlignment="1" applyProtection="1">
      <alignment horizontal="right"/>
      <protection locked="0"/>
    </xf>
    <xf numFmtId="0" fontId="40" fillId="0" borderId="36" xfId="0" applyFont="1" applyBorder="1" applyProtection="1">
      <protection locked="0"/>
    </xf>
    <xf numFmtId="3" fontId="40" fillId="0" borderId="36" xfId="0" applyNumberFormat="1" applyFont="1" applyBorder="1" applyAlignment="1" applyProtection="1">
      <alignment horizontal="right"/>
      <protection locked="0"/>
    </xf>
    <xf numFmtId="164" fontId="40" fillId="0" borderId="0" xfId="0" applyNumberFormat="1" applyFont="1" applyProtection="1">
      <protection locked="0"/>
    </xf>
    <xf numFmtId="164" fontId="6" fillId="0" borderId="14" xfId="0" applyNumberFormat="1" applyFont="1" applyBorder="1" applyAlignment="1">
      <alignment horizontal="center"/>
    </xf>
    <xf numFmtId="164" fontId="6" fillId="0" borderId="0" xfId="0" applyNumberFormat="1" applyFont="1" applyBorder="1" applyAlignment="1">
      <alignment horizontal="center"/>
    </xf>
    <xf numFmtId="164" fontId="6" fillId="0" borderId="16" xfId="0" applyNumberFormat="1" applyFont="1" applyBorder="1" applyAlignment="1">
      <alignment horizontal="center"/>
    </xf>
    <xf numFmtId="164" fontId="6" fillId="0" borderId="46" xfId="0" applyNumberFormat="1" applyFont="1" applyBorder="1" applyAlignment="1">
      <alignment horizontal="center"/>
    </xf>
    <xf numFmtId="164" fontId="6" fillId="0" borderId="0" xfId="0" applyNumberFormat="1" applyFont="1"/>
    <xf numFmtId="164" fontId="6" fillId="0" borderId="0" xfId="0" applyNumberFormat="1" applyFont="1" applyFill="1"/>
    <xf numFmtId="0" fontId="1" fillId="0" borderId="4" xfId="0" applyFont="1" applyBorder="1"/>
    <xf numFmtId="0" fontId="1" fillId="0" borderId="48" xfId="0" applyFont="1" applyBorder="1"/>
    <xf numFmtId="3" fontId="1" fillId="0" borderId="0" xfId="0" applyNumberFormat="1" applyFont="1" applyBorder="1"/>
    <xf numFmtId="3" fontId="1" fillId="0" borderId="47" xfId="0" applyNumberFormat="1" applyFont="1" applyBorder="1"/>
    <xf numFmtId="3" fontId="1" fillId="0" borderId="6" xfId="0" applyNumberFormat="1" applyFont="1" applyBorder="1"/>
    <xf numFmtId="0" fontId="36" fillId="0" borderId="3" xfId="0" applyFont="1" applyBorder="1"/>
    <xf numFmtId="0" fontId="36" fillId="0" borderId="8" xfId="0" applyFont="1" applyBorder="1"/>
    <xf numFmtId="3" fontId="1" fillId="0" borderId="0" xfId="0" applyNumberFormat="1" applyFont="1" applyBorder="1" applyAlignment="1">
      <alignment horizontal="center"/>
    </xf>
    <xf numFmtId="3" fontId="1" fillId="0" borderId="1" xfId="0" applyNumberFormat="1" applyFont="1" applyBorder="1" applyAlignment="1">
      <alignment horizontal="center"/>
    </xf>
    <xf numFmtId="9" fontId="6" fillId="0" borderId="0" xfId="0" applyNumberFormat="1" applyFont="1" applyBorder="1" applyAlignment="1">
      <alignment horizontal="center"/>
    </xf>
    <xf numFmtId="0" fontId="2" fillId="0" borderId="0" xfId="0" applyFont="1" applyAlignment="1">
      <alignment horizontal="left"/>
    </xf>
    <xf numFmtId="9" fontId="6" fillId="0" borderId="1" xfId="0" applyNumberFormat="1" applyFont="1" applyBorder="1" applyAlignment="1">
      <alignment horizontal="center"/>
    </xf>
    <xf numFmtId="3" fontId="1" fillId="7" borderId="47" xfId="0" applyNumberFormat="1" applyFont="1" applyFill="1" applyBorder="1" applyAlignment="1">
      <alignment horizontal="center"/>
    </xf>
    <xf numFmtId="3" fontId="1" fillId="7" borderId="6" xfId="0" applyNumberFormat="1" applyFont="1" applyFill="1" applyBorder="1" applyAlignment="1">
      <alignment horizontal="center"/>
    </xf>
    <xf numFmtId="3" fontId="1" fillId="0" borderId="0" xfId="0" applyNumberFormat="1" applyFont="1" applyFill="1" applyBorder="1"/>
    <xf numFmtId="9" fontId="6" fillId="0" borderId="0" xfId="0" applyNumberFormat="1" applyFont="1" applyFill="1" applyBorder="1" applyAlignment="1">
      <alignment horizontal="center"/>
    </xf>
    <xf numFmtId="3" fontId="6" fillId="0" borderId="14" xfId="0" applyNumberFormat="1" applyFont="1" applyBorder="1" applyAlignment="1">
      <alignment horizontal="center"/>
    </xf>
    <xf numFmtId="4" fontId="2" fillId="0" borderId="0" xfId="0" applyNumberFormat="1" applyFont="1"/>
    <xf numFmtId="170" fontId="8" fillId="0" borderId="0" xfId="0" applyNumberFormat="1" applyFont="1" applyFill="1" applyBorder="1" applyAlignment="1">
      <alignment horizontal="center" wrapText="1"/>
    </xf>
    <xf numFmtId="170" fontId="8" fillId="0" borderId="1" xfId="0" applyNumberFormat="1" applyFont="1" applyFill="1" applyBorder="1" applyAlignment="1">
      <alignment horizontal="center" wrapText="1"/>
    </xf>
    <xf numFmtId="0" fontId="37" fillId="0" borderId="1" xfId="0" applyFont="1" applyBorder="1"/>
    <xf numFmtId="164" fontId="42" fillId="0" borderId="0" xfId="0" applyNumberFormat="1" applyFont="1" applyBorder="1" applyAlignment="1">
      <alignment horizontal="center"/>
    </xf>
    <xf numFmtId="0" fontId="3" fillId="0" borderId="0" xfId="0" applyFont="1" applyAlignment="1">
      <alignment horizontal="center"/>
    </xf>
    <xf numFmtId="9" fontId="6" fillId="0" borderId="1" xfId="0" applyNumberFormat="1" applyFont="1" applyBorder="1"/>
    <xf numFmtId="10" fontId="1" fillId="0" borderId="0" xfId="0" applyNumberFormat="1" applyFont="1" applyBorder="1" applyAlignment="1">
      <alignment horizontal="center"/>
    </xf>
    <xf numFmtId="0" fontId="6" fillId="0" borderId="0" xfId="0" applyFont="1" applyBorder="1" applyAlignment="1">
      <alignment horizontal="center"/>
    </xf>
    <xf numFmtId="0" fontId="2" fillId="0" borderId="0" xfId="0" applyFont="1" applyAlignment="1">
      <alignment horizontal="right"/>
    </xf>
    <xf numFmtId="0" fontId="3" fillId="3" borderId="0" xfId="0" applyFont="1" applyFill="1"/>
    <xf numFmtId="0" fontId="2" fillId="3" borderId="0" xfId="0" applyFont="1" applyFill="1" applyBorder="1"/>
    <xf numFmtId="0" fontId="1" fillId="3" borderId="0" xfId="0" applyFont="1" applyFill="1" applyBorder="1"/>
    <xf numFmtId="6" fontId="1" fillId="3" borderId="1" xfId="0" applyNumberFormat="1" applyFont="1" applyFill="1" applyBorder="1"/>
    <xf numFmtId="6" fontId="2" fillId="3" borderId="0" xfId="0" applyNumberFormat="1" applyFont="1" applyFill="1" applyBorder="1"/>
    <xf numFmtId="164" fontId="3" fillId="3" borderId="0" xfId="0" applyNumberFormat="1" applyFont="1" applyFill="1" applyBorder="1"/>
    <xf numFmtId="6" fontId="1" fillId="3" borderId="0" xfId="0" applyNumberFormat="1" applyFont="1" applyFill="1" applyBorder="1"/>
    <xf numFmtId="9" fontId="4" fillId="3" borderId="0" xfId="0" applyNumberFormat="1" applyFont="1" applyFill="1" applyBorder="1"/>
    <xf numFmtId="9" fontId="3" fillId="3" borderId="0" xfId="0" applyNumberFormat="1" applyFont="1" applyFill="1" applyBorder="1"/>
    <xf numFmtId="1" fontId="4" fillId="3" borderId="0" xfId="0" applyNumberFormat="1" applyFont="1" applyFill="1"/>
    <xf numFmtId="8" fontId="6" fillId="0" borderId="0" xfId="0" applyNumberFormat="1" applyFont="1" applyFill="1" applyBorder="1"/>
    <xf numFmtId="0" fontId="5" fillId="0" borderId="0" xfId="0" applyFont="1" applyFill="1"/>
    <xf numFmtId="0" fontId="6" fillId="0" borderId="2"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lignment horizontal="right"/>
    </xf>
    <xf numFmtId="1" fontId="1" fillId="0" borderId="17" xfId="0" applyNumberFormat="1" applyFont="1" applyFill="1" applyBorder="1"/>
    <xf numFmtId="1" fontId="1" fillId="0" borderId="31" xfId="0" applyNumberFormat="1" applyFont="1" applyFill="1" applyBorder="1"/>
    <xf numFmtId="1" fontId="3" fillId="0" borderId="0" xfId="0" applyNumberFormat="1" applyFont="1" applyFill="1"/>
    <xf numFmtId="0" fontId="4" fillId="0" borderId="0" xfId="0" applyFont="1" applyFill="1"/>
    <xf numFmtId="0" fontId="6" fillId="0" borderId="0" xfId="0" applyFont="1" applyFill="1" applyBorder="1"/>
    <xf numFmtId="0" fontId="1" fillId="0" borderId="31" xfId="0" applyFont="1" applyFill="1" applyBorder="1"/>
    <xf numFmtId="3" fontId="1" fillId="0" borderId="17" xfId="0" applyNumberFormat="1" applyFont="1" applyFill="1" applyBorder="1"/>
    <xf numFmtId="3" fontId="1" fillId="0" borderId="31" xfId="0" applyNumberFormat="1" applyFont="1" applyFill="1" applyBorder="1"/>
    <xf numFmtId="9" fontId="36" fillId="0" borderId="1" xfId="0" applyNumberFormat="1" applyFont="1" applyFill="1" applyBorder="1"/>
    <xf numFmtId="9" fontId="36" fillId="0" borderId="0" xfId="0" applyNumberFormat="1" applyFont="1" applyFill="1" applyBorder="1"/>
    <xf numFmtId="8" fontId="1" fillId="0" borderId="0" xfId="0" applyNumberFormat="1" applyFont="1" applyFill="1"/>
    <xf numFmtId="6" fontId="2" fillId="0" borderId="0" xfId="0" applyNumberFormat="1" applyFont="1" applyFill="1"/>
    <xf numFmtId="6" fontId="1" fillId="0" borderId="0" xfId="0" applyNumberFormat="1" applyFont="1" applyFill="1"/>
    <xf numFmtId="3" fontId="3" fillId="0" borderId="0" xfId="0" applyNumberFormat="1" applyFont="1" applyFill="1"/>
    <xf numFmtId="1" fontId="7" fillId="3" borderId="0" xfId="0" applyNumberFormat="1" applyFont="1" applyFill="1"/>
    <xf numFmtId="6" fontId="2" fillId="0" borderId="17" xfId="0" applyNumberFormat="1" applyFont="1" applyFill="1" applyBorder="1"/>
    <xf numFmtId="6" fontId="6" fillId="0" borderId="0" xfId="0" applyNumberFormat="1" applyFont="1" applyFill="1" applyBorder="1"/>
    <xf numFmtId="6" fontId="6" fillId="0" borderId="1" xfId="0" applyNumberFormat="1" applyFont="1" applyFill="1" applyBorder="1"/>
    <xf numFmtId="9" fontId="36" fillId="3" borderId="0" xfId="0" applyNumberFormat="1" applyFont="1" applyFill="1" applyBorder="1"/>
    <xf numFmtId="164" fontId="3" fillId="3" borderId="0" xfId="3" applyNumberFormat="1" applyFont="1" applyFill="1" applyBorder="1"/>
    <xf numFmtId="164" fontId="4" fillId="3" borderId="0" xfId="3" applyNumberFormat="1" applyFont="1" applyFill="1" applyBorder="1"/>
    <xf numFmtId="0" fontId="2" fillId="0" borderId="1" xfId="0" applyFont="1" applyFill="1" applyBorder="1" applyAlignment="1">
      <alignment horizontal="centerContinuous"/>
    </xf>
    <xf numFmtId="0" fontId="1" fillId="0" borderId="1" xfId="0" applyFont="1" applyFill="1" applyBorder="1" applyAlignment="1">
      <alignment horizontal="centerContinuous"/>
    </xf>
    <xf numFmtId="9" fontId="1" fillId="0" borderId="0" xfId="0" applyNumberFormat="1" applyFont="1" applyBorder="1"/>
    <xf numFmtId="9" fontId="1" fillId="0" borderId="47" xfId="0" applyNumberFormat="1" applyFont="1" applyBorder="1"/>
    <xf numFmtId="9" fontId="1" fillId="0" borderId="1" xfId="0" applyNumberFormat="1" applyFont="1" applyBorder="1"/>
    <xf numFmtId="9" fontId="1" fillId="0" borderId="6" xfId="0" applyNumberFormat="1" applyFont="1" applyBorder="1"/>
    <xf numFmtId="0" fontId="3" fillId="0" borderId="0" xfId="0" applyFont="1" applyBorder="1" applyAlignment="1">
      <alignment horizontal="center"/>
    </xf>
    <xf numFmtId="0" fontId="1" fillId="2" borderId="0" xfId="0" applyFont="1" applyFill="1"/>
    <xf numFmtId="3" fontId="1" fillId="2" borderId="0" xfId="0" applyNumberFormat="1" applyFont="1" applyFill="1"/>
    <xf numFmtId="0" fontId="1" fillId="3" borderId="0" xfId="0" applyFont="1" applyFill="1"/>
    <xf numFmtId="3" fontId="1" fillId="3" borderId="0" xfId="0" applyNumberFormat="1" applyFont="1" applyFill="1"/>
    <xf numFmtId="9" fontId="6" fillId="0" borderId="2" xfId="0" applyNumberFormat="1" applyFont="1" applyBorder="1" applyAlignment="1">
      <alignment horizontal="center"/>
    </xf>
    <xf numFmtId="3" fontId="2" fillId="0" borderId="0" xfId="0" applyNumberFormat="1" applyFont="1" applyBorder="1"/>
    <xf numFmtId="0" fontId="1" fillId="3" borderId="1" xfId="0" applyFont="1" applyFill="1" applyBorder="1"/>
    <xf numFmtId="3" fontId="1" fillId="3" borderId="1" xfId="0" applyNumberFormat="1" applyFont="1" applyFill="1" applyBorder="1"/>
    <xf numFmtId="1" fontId="1" fillId="3" borderId="0" xfId="0" applyNumberFormat="1" applyFont="1" applyFill="1"/>
    <xf numFmtId="3" fontId="1" fillId="0" borderId="49" xfId="0" applyNumberFormat="1" applyFont="1" applyFill="1" applyBorder="1"/>
    <xf numFmtId="3" fontId="3" fillId="0" borderId="0" xfId="0" applyNumberFormat="1" applyFont="1"/>
    <xf numFmtId="3" fontId="3" fillId="0" borderId="17" xfId="0" applyNumberFormat="1" applyFont="1" applyFill="1" applyBorder="1"/>
    <xf numFmtId="3" fontId="7" fillId="0" borderId="0" xfId="0" applyNumberFormat="1" applyFont="1" applyFill="1"/>
    <xf numFmtId="164" fontId="3" fillId="0" borderId="0" xfId="0" applyNumberFormat="1" applyFont="1"/>
    <xf numFmtId="0" fontId="43" fillId="0" borderId="0" xfId="0" applyFont="1" applyFill="1" applyBorder="1" applyAlignment="1">
      <alignment horizontal="center"/>
    </xf>
    <xf numFmtId="0" fontId="5" fillId="3" borderId="0" xfId="0" applyFont="1" applyFill="1"/>
    <xf numFmtId="164" fontId="33" fillId="8" borderId="2" xfId="0" applyNumberFormat="1" applyFont="1" applyFill="1" applyBorder="1" applyAlignment="1">
      <alignment horizontal="center"/>
    </xf>
    <xf numFmtId="164" fontId="8" fillId="0" borderId="0" xfId="0" applyNumberFormat="1" applyFont="1"/>
    <xf numFmtId="164" fontId="33" fillId="0" borderId="0" xfId="0" applyNumberFormat="1" applyFont="1" applyFill="1"/>
    <xf numFmtId="0" fontId="10" fillId="0" borderId="0" xfId="0" applyFont="1"/>
    <xf numFmtId="9" fontId="0" fillId="0" borderId="0" xfId="0" applyNumberFormat="1"/>
    <xf numFmtId="0" fontId="44" fillId="9" borderId="0" xfId="0" applyFont="1" applyFill="1" applyAlignment="1">
      <alignment horizontal="centerContinuous" vertical="center"/>
    </xf>
    <xf numFmtId="0" fontId="1" fillId="9" borderId="0" xfId="0" applyFont="1" applyFill="1" applyAlignment="1">
      <alignment horizontal="centerContinuous"/>
    </xf>
    <xf numFmtId="170" fontId="2" fillId="0" borderId="1" xfId="0" applyNumberFormat="1" applyFont="1" applyBorder="1"/>
    <xf numFmtId="170" fontId="2" fillId="0" borderId="0" xfId="0" applyNumberFormat="1" applyFont="1" applyBorder="1"/>
    <xf numFmtId="164" fontId="1" fillId="0" borderId="0" xfId="0" applyNumberFormat="1" applyFont="1"/>
    <xf numFmtId="0" fontId="1" fillId="9" borderId="0" xfId="0" applyFont="1" applyFill="1"/>
    <xf numFmtId="0" fontId="2" fillId="7" borderId="46"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6" xfId="0" applyFont="1" applyFill="1" applyBorder="1"/>
    <xf numFmtId="0" fontId="8" fillId="2" borderId="32" xfId="0" applyFont="1" applyFill="1" applyBorder="1"/>
    <xf numFmtId="6" fontId="8" fillId="2" borderId="49" xfId="0" applyNumberFormat="1" applyFont="1" applyFill="1" applyBorder="1"/>
    <xf numFmtId="0" fontId="8" fillId="0" borderId="0" xfId="0" applyFont="1" applyFill="1" applyBorder="1"/>
    <xf numFmtId="6" fontId="8" fillId="0" borderId="0" xfId="0" applyNumberFormat="1" applyFont="1" applyFill="1" applyBorder="1"/>
    <xf numFmtId="164" fontId="2" fillId="0" borderId="0" xfId="0" applyNumberFormat="1" applyFont="1" applyBorder="1"/>
    <xf numFmtId="164" fontId="2" fillId="0" borderId="9" xfId="0" applyNumberFormat="1" applyFont="1" applyBorder="1"/>
    <xf numFmtId="0" fontId="1" fillId="0" borderId="0" xfId="0" applyFont="1" applyAlignment="1">
      <alignment horizontal="center"/>
    </xf>
    <xf numFmtId="0" fontId="2" fillId="0" borderId="1" xfId="0" quotePrefix="1" applyNumberFormat="1" applyFont="1" applyBorder="1" applyAlignment="1"/>
    <xf numFmtId="0" fontId="2" fillId="0" borderId="1" xfId="0" applyFont="1" applyBorder="1" applyAlignment="1">
      <alignment horizontal="right"/>
    </xf>
    <xf numFmtId="0" fontId="2" fillId="0" borderId="1" xfId="0" applyFont="1" applyBorder="1" applyAlignment="1">
      <alignment horizontal="center"/>
    </xf>
    <xf numFmtId="14" fontId="1" fillId="0" borderId="0" xfId="0" applyNumberFormat="1" applyFont="1" applyFill="1"/>
    <xf numFmtId="0" fontId="2" fillId="0" borderId="1" xfId="0" quotePrefix="1" applyFont="1" applyBorder="1"/>
    <xf numFmtId="170" fontId="2" fillId="0" borderId="1" xfId="0" quotePrefix="1" applyNumberFormat="1" applyFont="1" applyBorder="1" applyAlignment="1">
      <alignment horizontal="right"/>
    </xf>
    <xf numFmtId="170" fontId="2" fillId="0" borderId="1" xfId="0" applyNumberFormat="1" applyFont="1" applyBorder="1" applyAlignment="1">
      <alignment horizontal="center"/>
    </xf>
    <xf numFmtId="176" fontId="1" fillId="0" borderId="0" xfId="0" applyNumberFormat="1" applyFont="1" applyFill="1"/>
    <xf numFmtId="0" fontId="1" fillId="0" borderId="1" xfId="0" applyFont="1" applyBorder="1" applyAlignment="1">
      <alignment horizontal="centerContinuous"/>
    </xf>
    <xf numFmtId="0" fontId="2" fillId="0" borderId="1" xfId="0" applyFont="1" applyBorder="1" applyAlignment="1">
      <alignment horizontal="centerContinuous"/>
    </xf>
    <xf numFmtId="0" fontId="44" fillId="9" borderId="0" xfId="0" applyFont="1" applyFill="1" applyBorder="1"/>
    <xf numFmtId="0" fontId="2" fillId="2" borderId="0" xfId="0" applyFont="1" applyFill="1"/>
    <xf numFmtId="0" fontId="2" fillId="2" borderId="0" xfId="0" applyFont="1" applyFill="1" applyAlignment="1">
      <alignment horizontal="center"/>
    </xf>
    <xf numFmtId="3" fontId="2" fillId="2" borderId="0" xfId="0" applyNumberFormat="1" applyFont="1" applyFill="1"/>
    <xf numFmtId="0" fontId="2" fillId="0" borderId="0" xfId="0" applyFont="1" applyBorder="1" applyAlignment="1">
      <alignment horizontal="center"/>
    </xf>
    <xf numFmtId="14" fontId="2" fillId="0" borderId="0" xfId="0" applyNumberFormat="1" applyFont="1" applyFill="1"/>
    <xf numFmtId="0" fontId="2" fillId="10" borderId="2" xfId="0" applyFont="1" applyFill="1" applyBorder="1" applyAlignment="1">
      <alignment horizontal="center"/>
    </xf>
    <xf numFmtId="3" fontId="1" fillId="10" borderId="0" xfId="0" applyNumberFormat="1" applyFont="1" applyFill="1"/>
    <xf numFmtId="176" fontId="1" fillId="10" borderId="0" xfId="0" applyNumberFormat="1" applyFont="1" applyFill="1"/>
    <xf numFmtId="14" fontId="1" fillId="0" borderId="0" xfId="0" applyNumberFormat="1" applyFont="1"/>
    <xf numFmtId="4" fontId="1" fillId="0" borderId="0" xfId="0" applyNumberFormat="1" applyFont="1"/>
    <xf numFmtId="14" fontId="44" fillId="9" borderId="0" xfId="0" applyNumberFormat="1" applyFont="1" applyFill="1"/>
    <xf numFmtId="14" fontId="44" fillId="0" borderId="0" xfId="0" applyNumberFormat="1" applyFont="1" applyFill="1"/>
    <xf numFmtId="0" fontId="41" fillId="4" borderId="34" xfId="0" applyFont="1" applyFill="1" applyBorder="1" applyAlignment="1" applyProtection="1">
      <alignment horizontal="center" vertical="center"/>
      <protection locked="0"/>
    </xf>
    <xf numFmtId="0" fontId="40" fillId="5" borderId="34" xfId="0" applyFont="1" applyFill="1" applyBorder="1" applyAlignment="1" applyProtection="1">
      <alignment horizontal="center" vertical="center"/>
      <protection locked="0"/>
    </xf>
    <xf numFmtId="0" fontId="41" fillId="0" borderId="35" xfId="0" applyFont="1" applyBorder="1" applyAlignment="1" applyProtection="1">
      <alignment horizontal="center" wrapText="1"/>
      <protection locked="0"/>
    </xf>
    <xf numFmtId="0" fontId="40" fillId="0" borderId="36" xfId="0" applyFont="1" applyBorder="1" applyAlignment="1" applyProtection="1">
      <alignment horizontal="center"/>
      <protection locked="0"/>
    </xf>
    <xf numFmtId="175" fontId="41" fillId="4" borderId="34" xfId="0" applyNumberFormat="1" applyFont="1" applyFill="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41" fillId="0" borderId="34" xfId="0" applyFont="1" applyBorder="1" applyAlignment="1" applyProtection="1">
      <alignment horizontal="center" vertical="center"/>
      <protection locked="0"/>
    </xf>
    <xf numFmtId="172" fontId="6" fillId="0" borderId="47" xfId="0" applyNumberFormat="1" applyFont="1" applyBorder="1"/>
    <xf numFmtId="6" fontId="1" fillId="0" borderId="47" xfId="0" applyNumberFormat="1" applyFont="1" applyBorder="1"/>
    <xf numFmtId="176" fontId="2" fillId="2" borderId="0" xfId="0" applyNumberFormat="1" applyFont="1" applyFill="1"/>
    <xf numFmtId="0" fontId="40" fillId="6" borderId="44" xfId="0" applyFont="1" applyFill="1" applyBorder="1" applyAlignment="1" applyProtection="1">
      <protection locked="0"/>
    </xf>
    <xf numFmtId="0" fontId="40" fillId="6" borderId="1" xfId="0" applyFont="1" applyFill="1" applyBorder="1" applyAlignment="1"/>
    <xf numFmtId="0" fontId="40" fillId="6" borderId="45" xfId="0" applyFont="1" applyFill="1" applyBorder="1" applyAlignment="1"/>
    <xf numFmtId="0" fontId="39" fillId="4" borderId="0" xfId="0" applyFont="1" applyFill="1" applyAlignment="1" applyProtection="1">
      <alignment horizontal="left" vertical="center"/>
      <protection locked="0"/>
    </xf>
    <xf numFmtId="0" fontId="41" fillId="4" borderId="34" xfId="0" applyFont="1" applyFill="1" applyBorder="1" applyAlignment="1" applyProtection="1">
      <alignment horizontal="center" vertical="center"/>
      <protection locked="0"/>
    </xf>
    <xf numFmtId="0" fontId="40" fillId="5" borderId="34" xfId="0" applyFont="1" applyFill="1" applyBorder="1" applyAlignment="1" applyProtection="1">
      <alignment horizontal="center" vertical="center"/>
      <protection locked="0"/>
    </xf>
    <xf numFmtId="0" fontId="41" fillId="0" borderId="35" xfId="0" applyFont="1" applyBorder="1" applyAlignment="1" applyProtection="1">
      <alignment horizontal="center" wrapText="1"/>
      <protection locked="0"/>
    </xf>
    <xf numFmtId="0" fontId="40" fillId="0" borderId="36" xfId="0" applyFont="1" applyBorder="1" applyAlignment="1" applyProtection="1">
      <alignment horizontal="center"/>
      <protection locked="0"/>
    </xf>
    <xf numFmtId="175" fontId="41" fillId="4" borderId="34" xfId="0" applyNumberFormat="1" applyFont="1" applyFill="1" applyBorder="1" applyAlignment="1" applyProtection="1">
      <alignment horizontal="center" vertical="center"/>
      <protection locked="0"/>
    </xf>
    <xf numFmtId="0" fontId="40" fillId="0" borderId="34" xfId="0" applyFont="1" applyBorder="1" applyAlignment="1" applyProtection="1">
      <alignment horizontal="center" vertical="center"/>
      <protection locked="0"/>
    </xf>
    <xf numFmtId="0" fontId="41" fillId="0" borderId="34" xfId="0" applyFont="1" applyBorder="1" applyAlignment="1" applyProtection="1">
      <alignment horizontal="center" vertical="center"/>
      <protection locked="0"/>
    </xf>
    <xf numFmtId="0" fontId="40" fillId="0" borderId="2" xfId="0" applyFont="1" applyBorder="1" applyAlignment="1" applyProtection="1">
      <alignment wrapText="1"/>
      <protection locked="0"/>
    </xf>
    <xf numFmtId="0" fontId="40" fillId="0" borderId="2" xfId="0" applyFont="1" applyBorder="1" applyAlignment="1">
      <alignment wrapText="1"/>
    </xf>
    <xf numFmtId="0" fontId="40" fillId="0" borderId="38" xfId="0" applyFont="1" applyBorder="1" applyAlignment="1" applyProtection="1">
      <alignment wrapText="1"/>
      <protection locked="0"/>
    </xf>
    <xf numFmtId="0" fontId="40" fillId="0" borderId="17" xfId="0" applyFont="1" applyBorder="1" applyAlignment="1">
      <alignment wrapText="1"/>
    </xf>
    <xf numFmtId="0" fontId="40" fillId="0" borderId="39" xfId="0" applyFont="1" applyBorder="1" applyAlignment="1">
      <alignment wrapText="1"/>
    </xf>
    <xf numFmtId="0" fontId="40" fillId="6" borderId="40" xfId="0" applyFont="1" applyFill="1" applyBorder="1" applyAlignment="1" applyProtection="1">
      <protection locked="0"/>
    </xf>
    <xf numFmtId="0" fontId="40" fillId="6" borderId="7" xfId="0" applyFont="1" applyFill="1" applyBorder="1" applyAlignment="1"/>
    <xf numFmtId="0" fontId="40" fillId="6" borderId="41" xfId="0" applyFont="1" applyFill="1" applyBorder="1" applyAlignment="1"/>
    <xf numFmtId="0" fontId="40" fillId="6" borderId="42" xfId="0" applyFont="1" applyFill="1" applyBorder="1" applyAlignment="1" applyProtection="1">
      <alignment wrapText="1"/>
      <protection locked="0"/>
    </xf>
    <xf numFmtId="0" fontId="40" fillId="6" borderId="0" xfId="0" applyFont="1" applyFill="1" applyBorder="1" applyAlignment="1"/>
    <xf numFmtId="0" fontId="40" fillId="6" borderId="43" xfId="0" applyFont="1" applyFill="1" applyBorder="1" applyAlignment="1"/>
    <xf numFmtId="0" fontId="12" fillId="0" borderId="1" xfId="0" applyFont="1" applyFill="1" applyBorder="1" applyAlignment="1">
      <alignment horizontal="center" wrapText="1"/>
    </xf>
    <xf numFmtId="0" fontId="11" fillId="0" borderId="1" xfId="0" applyFont="1" applyFill="1" applyBorder="1" applyAlignment="1"/>
    <xf numFmtId="167" fontId="12" fillId="0" borderId="9" xfId="6" applyNumberFormat="1" applyFont="1" applyFill="1" applyBorder="1" applyAlignment="1">
      <alignment horizontal="center" vertical="center" wrapText="1"/>
    </xf>
    <xf numFmtId="167" fontId="12" fillId="0" borderId="0" xfId="6" applyNumberFormat="1" applyFont="1" applyFill="1" applyBorder="1" applyAlignment="1">
      <alignment horizontal="right" vertical="center" wrapText="1"/>
    </xf>
    <xf numFmtId="167" fontId="12" fillId="0" borderId="9" xfId="6" applyNumberFormat="1" applyFont="1" applyFill="1" applyBorder="1" applyAlignment="1">
      <alignment horizontal="right" vertical="center"/>
    </xf>
    <xf numFmtId="167" fontId="12" fillId="0" borderId="0" xfId="6" applyNumberFormat="1" applyFont="1" applyFill="1" applyBorder="1" applyAlignment="1">
      <alignment horizontal="center" vertical="center" wrapText="1"/>
    </xf>
    <xf numFmtId="0" fontId="16" fillId="0" borderId="0" xfId="0" applyFont="1" applyFill="1" applyBorder="1" applyAlignment="1">
      <alignment horizontal="center" textRotation="90"/>
    </xf>
    <xf numFmtId="0" fontId="16" fillId="0" borderId="1" xfId="0" applyFont="1" applyFill="1" applyBorder="1" applyAlignment="1">
      <alignment horizontal="center" textRotation="90"/>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7" fontId="12" fillId="0" borderId="0" xfId="6" quotePrefix="1" applyNumberFormat="1" applyFont="1" applyFill="1" applyBorder="1" applyAlignment="1">
      <alignment horizontal="center" vertical="center" wrapText="1"/>
    </xf>
    <xf numFmtId="167" fontId="12" fillId="0" borderId="0" xfId="6" applyNumberFormat="1" applyFont="1" applyFill="1" applyBorder="1" applyAlignment="1">
      <alignment horizontal="left" vertical="center" wrapText="1"/>
    </xf>
    <xf numFmtId="0" fontId="28" fillId="0" borderId="0" xfId="9" applyNumberFormat="1" applyFont="1" applyFill="1" applyAlignment="1">
      <alignment horizontal="center"/>
    </xf>
    <xf numFmtId="0" fontId="29" fillId="0" borderId="0" xfId="9" applyNumberFormat="1" applyFont="1" applyFill="1" applyAlignment="1">
      <alignment horizontal="center"/>
    </xf>
  </cellXfs>
  <cellStyles count="15">
    <cellStyle name="Comma" xfId="1" builtinId="3"/>
    <cellStyle name="Comma 3" xfId="6"/>
    <cellStyle name="Comma 5" xfId="12"/>
    <cellStyle name="Currency" xfId="2" builtinId="4"/>
    <cellStyle name="Currency [0] 2" xfId="8"/>
    <cellStyle name="Currency 3" xfId="5"/>
    <cellStyle name="Currency 5" xfId="11"/>
    <cellStyle name="Normal" xfId="0" builtinId="0"/>
    <cellStyle name="Normal 3" xfId="4"/>
    <cellStyle name="Normal 3 2" xfId="10"/>
    <cellStyle name="Normal 5" xfId="9"/>
    <cellStyle name="Normal_AMAT" xfId="14"/>
    <cellStyle name="Percent" xfId="3" builtinId="5"/>
    <cellStyle name="Percent 2" xfId="7"/>
    <cellStyle name="Percent 3" xfId="1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volatileDependencies.xml><?xml version="1.0" encoding="utf-8"?>
<volTypes xmlns="http://schemas.openxmlformats.org/spreadsheetml/2006/main">
  <volType type="realTimeData">
    <main first="bloomberg.rtd">
      <tp t="e">
        <v>#N/A</v>
        <stp/>
        <stp>##V3_BDHV12</stp>
        <stp>TWTR US Equity</stp>
        <stp>BEST_SALES</stp>
        <stp>01/01/1998</stp>
        <stp>1/14/2014</stp>
        <stp>[Theranos_v12.xlsx]High Growth Comps!R42C1_x0000__x0000_</stp>
        <stp>BEST_FPERIOD_OVERRIDE=1gy</stp>
        <stp>per=y</stp>
        <stp>cols=2;rows=1</stp>
        <tr r="A42" s="13"/>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volatileDependencies" Target="volatileDependenci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U.S. Lab Market - $72 bn</a:t>
            </a:r>
          </a:p>
        </c:rich>
      </c:tx>
      <c:layout>
        <c:manualLayout>
          <c:xMode val="edge"/>
          <c:yMode val="edge"/>
          <c:x val="0.10997699658252102"/>
          <c:y val="0"/>
        </c:manualLayout>
      </c:layout>
      <c:overlay val="0"/>
    </c:title>
    <c:autoTitleDeleted val="0"/>
    <c:plotArea>
      <c:layout>
        <c:manualLayout>
          <c:layoutTarget val="inner"/>
          <c:xMode val="edge"/>
          <c:yMode val="edge"/>
          <c:x val="0.2357380613464507"/>
          <c:y val="0.12215806357538642"/>
          <c:w val="0.50718367297909273"/>
          <c:h val="0.76958078156897058"/>
        </c:manualLayout>
      </c:layout>
      <c:pieChart>
        <c:varyColors val="1"/>
        <c:ser>
          <c:idx val="0"/>
          <c:order val="0"/>
          <c:dPt>
            <c:idx val="0"/>
            <c:bubble3D val="0"/>
            <c:spPr>
              <a:solidFill>
                <a:schemeClr val="tx2"/>
              </a:solidFill>
            </c:spPr>
          </c:dPt>
          <c:dPt>
            <c:idx val="1"/>
            <c:bubble3D val="0"/>
            <c:spPr>
              <a:solidFill>
                <a:schemeClr val="accent4">
                  <a:lumMod val="75000"/>
                </a:schemeClr>
              </a:solidFill>
              <a:ln>
                <a:solidFill>
                  <a:schemeClr val="accent4">
                    <a:lumMod val="75000"/>
                  </a:schemeClr>
                </a:solidFill>
              </a:ln>
            </c:spPr>
          </c:dPt>
          <c:dPt>
            <c:idx val="2"/>
            <c:bubble3D val="0"/>
            <c:spPr>
              <a:solidFill>
                <a:schemeClr val="accent1">
                  <a:lumMod val="20000"/>
                  <a:lumOff val="80000"/>
                </a:schemeClr>
              </a:solidFill>
              <a:ln>
                <a:solidFill>
                  <a:schemeClr val="accent3">
                    <a:lumMod val="50000"/>
                  </a:schemeClr>
                </a:solidFill>
              </a:ln>
            </c:spPr>
          </c:dPt>
          <c:dLbls>
            <c:dLbl>
              <c:idx val="0"/>
              <c:layout>
                <c:manualLayout>
                  <c:x val="-0.16381988864664229"/>
                  <c:y val="-0.12796879556722077"/>
                </c:manualLayout>
              </c:layout>
              <c:spPr/>
              <c:txPr>
                <a:bodyPr/>
                <a:lstStyle/>
                <a:p>
                  <a:pPr>
                    <a:defRPr b="1">
                      <a:solidFill>
                        <a:schemeClr val="bg1"/>
                      </a:solidFill>
                    </a:defRPr>
                  </a:pPr>
                  <a:endParaRPr lang="en-US"/>
                </a:p>
              </c:txPr>
              <c:showLegendKey val="0"/>
              <c:showVal val="0"/>
              <c:showCatName val="0"/>
              <c:showSerName val="0"/>
              <c:showPercent val="1"/>
              <c:showBubbleSize val="0"/>
            </c:dLbl>
            <c:dLbl>
              <c:idx val="1"/>
              <c:layout>
                <c:manualLayout>
                  <c:x val="0.15667069076319692"/>
                  <c:y val="2.3108048993875766E-3"/>
                </c:manualLayout>
              </c:layout>
              <c:spPr/>
              <c:txPr>
                <a:bodyPr/>
                <a:lstStyle/>
                <a:p>
                  <a:pPr>
                    <a:defRPr b="1">
                      <a:solidFill>
                        <a:schemeClr val="bg1"/>
                      </a:solidFill>
                    </a:defRPr>
                  </a:pPr>
                  <a:endParaRPr lang="en-US"/>
                </a:p>
              </c:txPr>
              <c:showLegendKey val="0"/>
              <c:showVal val="0"/>
              <c:showCatName val="0"/>
              <c:showSerName val="0"/>
              <c:showPercent val="1"/>
              <c:showBubbleSize val="0"/>
            </c:dLbl>
            <c:dLbl>
              <c:idx val="2"/>
              <c:layout>
                <c:manualLayout>
                  <c:x val="6.5129581914388848E-2"/>
                  <c:y val="0.12073272090988627"/>
                </c:manualLayout>
              </c:layout>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1"/>
          </c:dLbls>
          <c:cat>
            <c:strRef>
              <c:f>Charts!$A$4:$A$6</c:f>
              <c:strCache>
                <c:ptCount val="3"/>
                <c:pt idx="0">
                  <c:v>Outside the Hospital</c:v>
                </c:pt>
                <c:pt idx="1">
                  <c:v>Hospital Inpatient</c:v>
                </c:pt>
                <c:pt idx="2">
                  <c:v>Hospital Outpatient</c:v>
                </c:pt>
              </c:strCache>
            </c:strRef>
          </c:cat>
          <c:val>
            <c:numRef>
              <c:f>Charts!$B$4:$B$6</c:f>
              <c:numCache>
                <c:formatCode>0%</c:formatCode>
                <c:ptCount val="3"/>
                <c:pt idx="0">
                  <c:v>0.61</c:v>
                </c:pt>
                <c:pt idx="1">
                  <c:v>0.28000000000000003</c:v>
                </c:pt>
                <c:pt idx="2">
                  <c:v>0.11</c:v>
                </c:pt>
              </c:numCache>
            </c:numRef>
          </c:val>
        </c:ser>
        <c:dLbls>
          <c:showLegendKey val="0"/>
          <c:showVal val="0"/>
          <c:showCatName val="0"/>
          <c:showSerName val="0"/>
          <c:showPercent val="1"/>
          <c:showBubbleSize val="0"/>
          <c:showLeaderLines val="1"/>
        </c:dLbls>
        <c:firstSliceAng val="0"/>
      </c:pieChart>
    </c:plotArea>
    <c:legend>
      <c:legendPos val="t"/>
      <c:layout>
        <c:manualLayout>
          <c:xMode val="edge"/>
          <c:yMode val="edge"/>
          <c:x val="2.2813384024937381E-2"/>
          <c:y val="0.90729184893554971"/>
          <c:w val="0.93768248742206961"/>
          <c:h val="9.2708151064450281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Outside the Hospital Lab Segment- $44 bn</a:t>
            </a:r>
          </a:p>
        </c:rich>
      </c:tx>
      <c:layout>
        <c:manualLayout>
          <c:xMode val="edge"/>
          <c:yMode val="edge"/>
          <c:x val="0.10997699658252102"/>
          <c:y val="0"/>
        </c:manualLayout>
      </c:layout>
      <c:overlay val="0"/>
    </c:title>
    <c:autoTitleDeleted val="0"/>
    <c:plotArea>
      <c:layout>
        <c:manualLayout>
          <c:layoutTarget val="inner"/>
          <c:xMode val="edge"/>
          <c:yMode val="edge"/>
          <c:x val="0.2357380613464507"/>
          <c:y val="0.17771361913094197"/>
          <c:w val="0.50718367297909273"/>
          <c:h val="0.76958078156897058"/>
        </c:manualLayout>
      </c:layout>
      <c:pieChart>
        <c:varyColors val="1"/>
        <c:ser>
          <c:idx val="0"/>
          <c:order val="0"/>
          <c:dPt>
            <c:idx val="0"/>
            <c:bubble3D val="0"/>
            <c:spPr>
              <a:solidFill>
                <a:schemeClr val="accent1">
                  <a:lumMod val="60000"/>
                  <a:lumOff val="40000"/>
                </a:schemeClr>
              </a:solidFill>
            </c:spPr>
          </c:dPt>
          <c:dPt>
            <c:idx val="1"/>
            <c:bubble3D val="0"/>
            <c:spPr>
              <a:solidFill>
                <a:schemeClr val="accent5">
                  <a:lumMod val="75000"/>
                </a:schemeClr>
              </a:solidFill>
              <a:ln>
                <a:solidFill>
                  <a:schemeClr val="accent4">
                    <a:lumMod val="75000"/>
                  </a:schemeClr>
                </a:solidFill>
              </a:ln>
            </c:spPr>
          </c:dPt>
          <c:dPt>
            <c:idx val="2"/>
            <c:bubble3D val="0"/>
            <c:spPr>
              <a:solidFill>
                <a:schemeClr val="bg2">
                  <a:lumMod val="75000"/>
                </a:schemeClr>
              </a:solidFill>
              <a:ln>
                <a:solidFill>
                  <a:schemeClr val="accent3">
                    <a:lumMod val="50000"/>
                  </a:schemeClr>
                </a:solidFill>
              </a:ln>
            </c:spPr>
          </c:dPt>
          <c:dPt>
            <c:idx val="3"/>
            <c:bubble3D val="0"/>
            <c:spPr>
              <a:solidFill>
                <a:schemeClr val="accent2">
                  <a:lumMod val="60000"/>
                  <a:lumOff val="40000"/>
                </a:schemeClr>
              </a:solidFill>
              <a:ln>
                <a:solidFill>
                  <a:schemeClr val="tx1"/>
                </a:solidFill>
              </a:ln>
            </c:spPr>
          </c:dPt>
          <c:dLbls>
            <c:dLbl>
              <c:idx val="0"/>
              <c:layout>
                <c:manualLayout>
                  <c:x val="-0.16381988864664229"/>
                  <c:y val="-5.5241549351785643E-2"/>
                </c:manualLayout>
              </c:layout>
              <c:spPr/>
              <c:txPr>
                <a:bodyPr/>
                <a:lstStyle/>
                <a:p>
                  <a:pPr>
                    <a:defRPr b="1">
                      <a:solidFill>
                        <a:schemeClr val="bg1"/>
                      </a:solidFill>
                    </a:defRPr>
                  </a:pPr>
                  <a:endParaRPr lang="en-US"/>
                </a:p>
              </c:txPr>
              <c:showLegendKey val="0"/>
              <c:showVal val="0"/>
              <c:showCatName val="0"/>
              <c:showSerName val="0"/>
              <c:showPercent val="1"/>
              <c:showBubbleSize val="0"/>
            </c:dLbl>
            <c:dLbl>
              <c:idx val="1"/>
              <c:layout>
                <c:manualLayout>
                  <c:x val="0.15667069076319692"/>
                  <c:y val="2.3108048993875766E-3"/>
                </c:manualLayout>
              </c:layout>
              <c:spPr/>
              <c:txPr>
                <a:bodyPr/>
                <a:lstStyle/>
                <a:p>
                  <a:pPr>
                    <a:defRPr b="1">
                      <a:solidFill>
                        <a:schemeClr val="bg1"/>
                      </a:solidFill>
                    </a:defRPr>
                  </a:pPr>
                  <a:endParaRPr lang="en-US"/>
                </a:p>
              </c:txPr>
              <c:showLegendKey val="0"/>
              <c:showVal val="0"/>
              <c:showCatName val="0"/>
              <c:showSerName val="0"/>
              <c:showPercent val="1"/>
              <c:showBubbleSize val="0"/>
            </c:dLbl>
            <c:dLbl>
              <c:idx val="2"/>
              <c:layout>
                <c:manualLayout>
                  <c:x val="6.5129581914388848E-2"/>
                  <c:y val="0.12073272090988627"/>
                </c:manualLayout>
              </c:layout>
              <c:showLegendKey val="0"/>
              <c:showVal val="0"/>
              <c:showCatName val="0"/>
              <c:showSerName val="0"/>
              <c:showPercent val="1"/>
              <c:showBubbleSize val="0"/>
            </c:dLbl>
            <c:txPr>
              <a:bodyPr/>
              <a:lstStyle/>
              <a:p>
                <a:pPr>
                  <a:defRPr b="1"/>
                </a:pPr>
                <a:endParaRPr lang="en-US"/>
              </a:p>
            </c:txPr>
            <c:showLegendKey val="0"/>
            <c:showVal val="0"/>
            <c:showCatName val="0"/>
            <c:showSerName val="0"/>
            <c:showPercent val="1"/>
            <c:showBubbleSize val="0"/>
            <c:showLeaderLines val="1"/>
          </c:dLbls>
          <c:cat>
            <c:strRef>
              <c:f>Charts!$D$4:$D$7</c:f>
              <c:strCache>
                <c:ptCount val="4"/>
                <c:pt idx="0">
                  <c:v>Independent Labs</c:v>
                </c:pt>
                <c:pt idx="1">
                  <c:v>Hospital Outreach</c:v>
                </c:pt>
                <c:pt idx="2">
                  <c:v>POL</c:v>
                </c:pt>
                <c:pt idx="3">
                  <c:v>Other</c:v>
                </c:pt>
              </c:strCache>
            </c:strRef>
          </c:cat>
          <c:val>
            <c:numRef>
              <c:f>Charts!$E$4:$E$7</c:f>
              <c:numCache>
                <c:formatCode>0%</c:formatCode>
                <c:ptCount val="4"/>
                <c:pt idx="0">
                  <c:v>0.55000000000000004</c:v>
                </c:pt>
                <c:pt idx="1">
                  <c:v>0.33</c:v>
                </c:pt>
                <c:pt idx="2">
                  <c:v>0.06</c:v>
                </c:pt>
                <c:pt idx="3">
                  <c:v>0.06</c:v>
                </c:pt>
              </c:numCache>
            </c:numRef>
          </c:val>
        </c:ser>
        <c:dLbls>
          <c:showLegendKey val="0"/>
          <c:showVal val="0"/>
          <c:showCatName val="0"/>
          <c:showSerName val="0"/>
          <c:showPercent val="1"/>
          <c:showBubbleSize val="0"/>
          <c:showLeaderLines val="1"/>
        </c:dLbls>
        <c:firstSliceAng val="0"/>
      </c:pieChart>
    </c:plotArea>
    <c:legend>
      <c:legendPos val="t"/>
      <c:layout>
        <c:manualLayout>
          <c:xMode val="edge"/>
          <c:yMode val="edge"/>
          <c:x val="2.2813384024937381E-2"/>
          <c:y val="0.90729184893554971"/>
          <c:w val="0.93768248742206961"/>
          <c:h val="9.2708151064450281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10</xdr:row>
      <xdr:rowOff>104775</xdr:rowOff>
    </xdr:from>
    <xdr:to>
      <xdr:col>4</xdr:col>
      <xdr:colOff>476250</xdr:colOff>
      <xdr:row>27</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10</xdr:row>
      <xdr:rowOff>133350</xdr:rowOff>
    </xdr:from>
    <xdr:to>
      <xdr:col>11</xdr:col>
      <xdr:colOff>428625</xdr:colOff>
      <xdr:row>27</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81100" cy="352425"/>
    <xdr:pic>
      <xdr:nvPicPr>
        <xdr:cNvPr id="2" name="Picture 1" descr="P:\Theranos Logo\Theranos Logo with Gradien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3524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15875</xdr:colOff>
      <xdr:row>0</xdr:row>
      <xdr:rowOff>39688</xdr:rowOff>
    </xdr:from>
    <xdr:ext cx="1181100" cy="352425"/>
    <xdr:pic>
      <xdr:nvPicPr>
        <xdr:cNvPr id="2" name="Picture 1" descr="P:\Theranos Logo\Theranos Logo with Gradien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39688"/>
          <a:ext cx="1181100" cy="3524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17318</xdr:colOff>
      <xdr:row>0</xdr:row>
      <xdr:rowOff>34636</xdr:rowOff>
    </xdr:from>
    <xdr:ext cx="1181100" cy="352425"/>
    <xdr:pic>
      <xdr:nvPicPr>
        <xdr:cNvPr id="2" name="Picture 1" descr="P:\Theranos Logo\Theranos Logo with Gradien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34636"/>
          <a:ext cx="1181100" cy="3524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47625</xdr:rowOff>
    </xdr:from>
    <xdr:ext cx="1181100" cy="352425"/>
    <xdr:pic>
      <xdr:nvPicPr>
        <xdr:cNvPr id="2" name="Picture 1" descr="P:\Theranos Logo\Theranos Logo with Gradient.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7625"/>
          <a:ext cx="1181100" cy="3524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190"/>
  <sheetViews>
    <sheetView showGridLines="0" tabSelected="1" zoomScale="85" zoomScaleNormal="85" workbookViewId="0">
      <pane xSplit="4" ySplit="6" topLeftCell="I35" activePane="bottomRight" state="frozen"/>
      <selection pane="topRight" activeCell="D1" sqref="D1"/>
      <selection pane="bottomLeft" activeCell="A5" sqref="A5"/>
      <selection pane="bottomRight" activeCell="D114" sqref="D114"/>
    </sheetView>
  </sheetViews>
  <sheetFormatPr defaultRowHeight="12.75" outlineLevelRow="2" x14ac:dyDescent="0.2"/>
  <cols>
    <col min="1" max="3" width="9.140625" style="1"/>
    <col min="4" max="7" width="12.140625" style="1" customWidth="1"/>
    <col min="8" max="8" width="13" style="1" customWidth="1"/>
    <col min="9" max="17" width="15.7109375" style="1" customWidth="1"/>
    <col min="18" max="16384" width="9.140625" style="1"/>
  </cols>
  <sheetData>
    <row r="1" spans="1:21" x14ac:dyDescent="0.2">
      <c r="A1" s="281" t="s">
        <v>181</v>
      </c>
      <c r="B1" s="282"/>
      <c r="C1" s="282"/>
      <c r="D1" s="283"/>
      <c r="E1" s="10"/>
      <c r="F1" s="317"/>
      <c r="G1" s="317"/>
      <c r="H1" s="10"/>
      <c r="I1" s="284" t="s">
        <v>188</v>
      </c>
      <c r="J1" s="284"/>
      <c r="K1" s="284"/>
      <c r="L1" s="284"/>
      <c r="M1" s="284"/>
      <c r="Q1" s="289"/>
      <c r="R1" s="289"/>
      <c r="S1" s="289"/>
    </row>
    <row r="2" spans="1:21" x14ac:dyDescent="0.2">
      <c r="A2" s="5"/>
      <c r="F2" s="289"/>
      <c r="G2" s="289"/>
    </row>
    <row r="3" spans="1:21" s="289" customFormat="1" x14ac:dyDescent="0.2">
      <c r="A3" s="332"/>
    </row>
    <row r="4" spans="1:21" s="289" customFormat="1" x14ac:dyDescent="0.2">
      <c r="A4" s="332"/>
      <c r="E4" s="436">
        <v>2014</v>
      </c>
      <c r="F4" s="437"/>
      <c r="G4" s="437"/>
      <c r="H4" s="437"/>
      <c r="J4" s="436">
        <v>2015</v>
      </c>
      <c r="K4" s="437"/>
      <c r="L4" s="437"/>
      <c r="M4" s="437"/>
    </row>
    <row r="5" spans="1:21" x14ac:dyDescent="0.2">
      <c r="E5" s="399" t="s">
        <v>2252</v>
      </c>
      <c r="F5" s="399" t="s">
        <v>2253</v>
      </c>
      <c r="G5" s="399" t="s">
        <v>2254</v>
      </c>
      <c r="H5" s="399" t="s">
        <v>2255</v>
      </c>
      <c r="I5" s="285">
        <v>2014</v>
      </c>
      <c r="J5" s="399" t="s">
        <v>2252</v>
      </c>
      <c r="K5" s="399" t="s">
        <v>2253</v>
      </c>
      <c r="L5" s="399" t="s">
        <v>2254</v>
      </c>
      <c r="M5" s="399" t="s">
        <v>2255</v>
      </c>
      <c r="N5" s="285">
        <f>+I5+1</f>
        <v>2015</v>
      </c>
      <c r="O5" s="285">
        <f t="shared" ref="O5" si="0">+N5+1</f>
        <v>2016</v>
      </c>
      <c r="P5" s="285">
        <f t="shared" ref="P5:Q5" si="1">+O5+1</f>
        <v>2017</v>
      </c>
      <c r="Q5" s="285">
        <f t="shared" si="1"/>
        <v>2018</v>
      </c>
    </row>
    <row r="6" spans="1:21" ht="5.0999999999999996" customHeight="1" x14ac:dyDescent="0.2">
      <c r="E6" s="286" t="s">
        <v>180</v>
      </c>
      <c r="F6" s="286" t="s">
        <v>180</v>
      </c>
      <c r="G6" s="286" t="s">
        <v>180</v>
      </c>
      <c r="H6" s="286" t="s">
        <v>180</v>
      </c>
      <c r="I6" s="286" t="s">
        <v>180</v>
      </c>
      <c r="J6" s="286" t="s">
        <v>180</v>
      </c>
      <c r="K6" s="286" t="s">
        <v>180</v>
      </c>
      <c r="L6" s="286" t="s">
        <v>180</v>
      </c>
      <c r="M6" s="286" t="s">
        <v>180</v>
      </c>
      <c r="N6" s="286" t="s">
        <v>180</v>
      </c>
      <c r="O6" s="286" t="s">
        <v>180</v>
      </c>
      <c r="P6" s="286" t="s">
        <v>180</v>
      </c>
      <c r="Q6" s="286" t="s">
        <v>180</v>
      </c>
    </row>
    <row r="7" spans="1:21" s="445" customFormat="1" hidden="1" outlineLevel="1" x14ac:dyDescent="0.2">
      <c r="A7" s="458" t="s">
        <v>183</v>
      </c>
    </row>
    <row r="8" spans="1:21" s="445" customFormat="1" hidden="1" outlineLevel="1" x14ac:dyDescent="0.2">
      <c r="A8" s="445" t="s">
        <v>53</v>
      </c>
      <c r="E8" s="446">
        <f t="shared" ref="E8:M8" ca="1" si="2">+E122</f>
        <v>17.666666666666668</v>
      </c>
      <c r="F8" s="446">
        <f t="shared" ca="1" si="2"/>
        <v>60</v>
      </c>
      <c r="G8" s="446">
        <f t="shared" ca="1" si="2"/>
        <v>233.33333333333334</v>
      </c>
      <c r="H8" s="446">
        <f t="shared" ca="1" si="2"/>
        <v>800</v>
      </c>
      <c r="I8" s="446">
        <f t="shared" ca="1" si="2"/>
        <v>277.75</v>
      </c>
      <c r="J8" s="446">
        <f t="shared" ca="1" si="2"/>
        <v>1200</v>
      </c>
      <c r="K8" s="446">
        <f t="shared" ca="1" si="2"/>
        <v>1500</v>
      </c>
      <c r="L8" s="446">
        <f t="shared" ca="1" si="2"/>
        <v>1933.3333333333333</v>
      </c>
      <c r="M8" s="446">
        <f t="shared" ca="1" si="2"/>
        <v>2400</v>
      </c>
      <c r="N8" s="446">
        <f t="shared" ref="N8:Q8" ca="1" si="3">+N122</f>
        <v>1758.3333333333333</v>
      </c>
      <c r="O8" s="446">
        <f t="shared" ca="1" si="3"/>
        <v>2600</v>
      </c>
      <c r="P8" s="446">
        <f t="shared" ca="1" si="3"/>
        <v>2700</v>
      </c>
      <c r="Q8" s="446">
        <f t="shared" ca="1" si="3"/>
        <v>2800</v>
      </c>
      <c r="U8" s="402"/>
    </row>
    <row r="9" spans="1:21" s="445" customFormat="1" hidden="1" outlineLevel="1" x14ac:dyDescent="0.2">
      <c r="A9" s="449" t="s">
        <v>55</v>
      </c>
      <c r="B9" s="449"/>
      <c r="C9" s="449"/>
      <c r="D9" s="449"/>
      <c r="E9" s="450">
        <f t="shared" ref="E9:M9" ca="1" si="4">+E128</f>
        <v>0</v>
      </c>
      <c r="F9" s="450">
        <f t="shared" ca="1" si="4"/>
        <v>10</v>
      </c>
      <c r="G9" s="450">
        <f t="shared" ca="1" si="4"/>
        <v>90</v>
      </c>
      <c r="H9" s="450">
        <f t="shared" ca="1" si="4"/>
        <v>200</v>
      </c>
      <c r="I9" s="450">
        <f t="shared" ca="1" si="4"/>
        <v>80.909090909090907</v>
      </c>
      <c r="J9" s="450">
        <f t="shared" ca="1" si="4"/>
        <v>400</v>
      </c>
      <c r="K9" s="450">
        <f t="shared" ca="1" si="4"/>
        <v>666.66666666666663</v>
      </c>
      <c r="L9" s="450">
        <f t="shared" ca="1" si="4"/>
        <v>700</v>
      </c>
      <c r="M9" s="450">
        <f t="shared" ca="1" si="4"/>
        <v>700</v>
      </c>
      <c r="N9" s="450">
        <f t="shared" ref="N9:Q9" ca="1" si="5">+N128</f>
        <v>616.66666666666663</v>
      </c>
      <c r="O9" s="450">
        <f t="shared" ca="1" si="5"/>
        <v>925</v>
      </c>
      <c r="P9" s="450">
        <f t="shared" ca="1" si="5"/>
        <v>1375</v>
      </c>
      <c r="Q9" s="450">
        <f t="shared" ca="1" si="5"/>
        <v>2175</v>
      </c>
      <c r="U9" s="402"/>
    </row>
    <row r="10" spans="1:21" s="445" customFormat="1" hidden="1" outlineLevel="1" x14ac:dyDescent="0.2">
      <c r="A10" s="445" t="s">
        <v>209</v>
      </c>
      <c r="E10" s="446">
        <f ca="1">SUM(E8:E9)</f>
        <v>17.666666666666668</v>
      </c>
      <c r="F10" s="446">
        <f ca="1">SUM(F8:F9)</f>
        <v>70</v>
      </c>
      <c r="G10" s="446">
        <f ca="1">SUM(G8:G9)</f>
        <v>323.33333333333337</v>
      </c>
      <c r="H10" s="446">
        <f ca="1">SUM(H8:H9)</f>
        <v>1000</v>
      </c>
      <c r="I10" s="446">
        <f ca="1">SUM(I8:I9)</f>
        <v>358.65909090909088</v>
      </c>
      <c r="J10" s="446">
        <f t="shared" ref="J10:M10" ca="1" si="6">SUM(J8:J9)</f>
        <v>1600</v>
      </c>
      <c r="K10" s="446">
        <f t="shared" ca="1" si="6"/>
        <v>2166.6666666666665</v>
      </c>
      <c r="L10" s="446">
        <f t="shared" ca="1" si="6"/>
        <v>2633.333333333333</v>
      </c>
      <c r="M10" s="446">
        <f t="shared" ca="1" si="6"/>
        <v>3100</v>
      </c>
      <c r="N10" s="446">
        <f t="shared" ref="N10:Q10" ca="1" si="7">SUM(N8:N9)</f>
        <v>2375</v>
      </c>
      <c r="O10" s="446">
        <f t="shared" ca="1" si="7"/>
        <v>3525</v>
      </c>
      <c r="P10" s="446">
        <f t="shared" ca="1" si="7"/>
        <v>4075</v>
      </c>
      <c r="Q10" s="446">
        <f t="shared" ca="1" si="7"/>
        <v>4975</v>
      </c>
      <c r="U10" s="402"/>
    </row>
    <row r="11" spans="1:21" s="445" customFormat="1" hidden="1" outlineLevel="1" x14ac:dyDescent="0.2">
      <c r="U11" s="402"/>
    </row>
    <row r="12" spans="1:21" s="445" customFormat="1" hidden="1" outlineLevel="1" x14ac:dyDescent="0.2">
      <c r="A12" s="445" t="s">
        <v>200</v>
      </c>
      <c r="E12" s="451">
        <f t="shared" ref="E12:Q12" ca="1" si="8">+E139</f>
        <v>17.924528301886792</v>
      </c>
      <c r="F12" s="451">
        <f t="shared" ca="1" si="8"/>
        <v>23.888888888888889</v>
      </c>
      <c r="G12" s="451">
        <f t="shared" ca="1" si="8"/>
        <v>24.999999999999996</v>
      </c>
      <c r="H12" s="451">
        <f t="shared" ca="1" si="8"/>
        <v>25</v>
      </c>
      <c r="I12" s="451">
        <f t="shared" ca="1" si="8"/>
        <v>24.827482748274825</v>
      </c>
      <c r="J12" s="451">
        <f t="shared" ca="1" si="8"/>
        <v>25</v>
      </c>
      <c r="K12" s="451">
        <f t="shared" ca="1" si="8"/>
        <v>25</v>
      </c>
      <c r="L12" s="451">
        <f t="shared" ca="1" si="8"/>
        <v>25</v>
      </c>
      <c r="M12" s="451">
        <f t="shared" ca="1" si="8"/>
        <v>25</v>
      </c>
      <c r="N12" s="451">
        <f t="shared" ca="1" si="8"/>
        <v>25</v>
      </c>
      <c r="O12" s="451">
        <f t="shared" ca="1" si="8"/>
        <v>25</v>
      </c>
      <c r="P12" s="451">
        <f t="shared" ca="1" si="8"/>
        <v>25</v>
      </c>
      <c r="Q12" s="451">
        <f t="shared" ca="1" si="8"/>
        <v>25</v>
      </c>
      <c r="U12" s="402"/>
    </row>
    <row r="13" spans="1:21" s="445" customFormat="1" hidden="1" outlineLevel="1" x14ac:dyDescent="0.2">
      <c r="A13" s="445" t="s">
        <v>201</v>
      </c>
      <c r="E13" s="451">
        <f t="shared" ref="E13:Q13" ca="1" si="9">+E145</f>
        <v>0</v>
      </c>
      <c r="F13" s="451">
        <f t="shared" ca="1" si="9"/>
        <v>13.333333333333334</v>
      </c>
      <c r="G13" s="451">
        <f t="shared" ca="1" si="9"/>
        <v>20</v>
      </c>
      <c r="H13" s="451">
        <f t="shared" ca="1" si="9"/>
        <v>25</v>
      </c>
      <c r="I13" s="451">
        <f t="shared" ca="1" si="9"/>
        <v>21.423220973782772</v>
      </c>
      <c r="J13" s="451">
        <f t="shared" ca="1" si="9"/>
        <v>25</v>
      </c>
      <c r="K13" s="451">
        <f t="shared" ca="1" si="9"/>
        <v>25</v>
      </c>
      <c r="L13" s="451">
        <f t="shared" ca="1" si="9"/>
        <v>25</v>
      </c>
      <c r="M13" s="451">
        <f t="shared" ca="1" si="9"/>
        <v>25</v>
      </c>
      <c r="N13" s="451">
        <f t="shared" ca="1" si="9"/>
        <v>25</v>
      </c>
      <c r="O13" s="451">
        <f t="shared" ca="1" si="9"/>
        <v>25</v>
      </c>
      <c r="P13" s="451">
        <f t="shared" ca="1" si="9"/>
        <v>25</v>
      </c>
      <c r="Q13" s="451">
        <f t="shared" ca="1" si="9"/>
        <v>25</v>
      </c>
      <c r="U13" s="402"/>
    </row>
    <row r="14" spans="1:21" s="445" customFormat="1" hidden="1" outlineLevel="1" x14ac:dyDescent="0.2">
      <c r="I14" s="451"/>
      <c r="J14" s="451"/>
      <c r="K14" s="451"/>
      <c r="L14" s="451"/>
      <c r="M14" s="451"/>
      <c r="N14" s="451"/>
      <c r="O14" s="451"/>
      <c r="P14" s="451"/>
      <c r="Q14" s="451"/>
      <c r="U14" s="402"/>
    </row>
    <row r="15" spans="1:21" s="445" customFormat="1" hidden="1" outlineLevel="1" x14ac:dyDescent="0.2">
      <c r="A15" s="445" t="str">
        <f>+A138</f>
        <v>Walgreens -Rx / Day / Location</v>
      </c>
      <c r="E15" s="446">
        <f t="shared" ref="E15:H16" ca="1" si="10">+E8*E12</f>
        <v>316.66666666666669</v>
      </c>
      <c r="F15" s="446">
        <f t="shared" ca="1" si="10"/>
        <v>1433.3333333333333</v>
      </c>
      <c r="G15" s="446">
        <f t="shared" ca="1" si="10"/>
        <v>5833.333333333333</v>
      </c>
      <c r="H15" s="446">
        <f t="shared" ca="1" si="10"/>
        <v>20000</v>
      </c>
      <c r="I15" s="446">
        <f ca="1">+AVERAGE(E15:H15)</f>
        <v>6895.833333333333</v>
      </c>
      <c r="J15" s="446">
        <f t="shared" ref="J15:M15" ca="1" si="11">+J8*J12</f>
        <v>30000</v>
      </c>
      <c r="K15" s="446">
        <f t="shared" ca="1" si="11"/>
        <v>37500</v>
      </c>
      <c r="L15" s="446">
        <f t="shared" ca="1" si="11"/>
        <v>48333.333333333328</v>
      </c>
      <c r="M15" s="446">
        <f t="shared" ca="1" si="11"/>
        <v>60000</v>
      </c>
      <c r="N15" s="446">
        <f ca="1">+AVERAGE(J15:M15)</f>
        <v>43958.333333333328</v>
      </c>
      <c r="O15" s="446">
        <f t="shared" ref="O15:Q15" ca="1" si="12">+O8*O12</f>
        <v>65000</v>
      </c>
      <c r="P15" s="446">
        <f t="shared" ca="1" si="12"/>
        <v>67500</v>
      </c>
      <c r="Q15" s="446">
        <f t="shared" ca="1" si="12"/>
        <v>70000</v>
      </c>
      <c r="U15" s="402"/>
    </row>
    <row r="16" spans="1:21" s="445" customFormat="1" hidden="1" outlineLevel="1" x14ac:dyDescent="0.2">
      <c r="A16" s="445" t="str">
        <f>+A144</f>
        <v>Other Retail -Rx / Day / Location</v>
      </c>
      <c r="E16" s="446">
        <f t="shared" ca="1" si="10"/>
        <v>0</v>
      </c>
      <c r="F16" s="446">
        <f t="shared" ca="1" si="10"/>
        <v>133.33333333333334</v>
      </c>
      <c r="G16" s="446">
        <f t="shared" ca="1" si="10"/>
        <v>1800</v>
      </c>
      <c r="H16" s="446">
        <f t="shared" ca="1" si="10"/>
        <v>5000</v>
      </c>
      <c r="I16" s="446">
        <f ca="1">+AVERAGE(E16:H16)</f>
        <v>1733.3333333333333</v>
      </c>
      <c r="J16" s="446">
        <f t="shared" ref="J16:M16" ca="1" si="13">+J9*J13</f>
        <v>10000</v>
      </c>
      <c r="K16" s="446">
        <f t="shared" ca="1" si="13"/>
        <v>16666.666666666664</v>
      </c>
      <c r="L16" s="446">
        <f t="shared" ca="1" si="13"/>
        <v>17500</v>
      </c>
      <c r="M16" s="446">
        <f t="shared" ca="1" si="13"/>
        <v>17500</v>
      </c>
      <c r="N16" s="446">
        <f ca="1">+AVERAGE(J16:M16)</f>
        <v>15416.666666666666</v>
      </c>
      <c r="O16" s="446">
        <f t="shared" ref="O16:Q16" ca="1" si="14">+O9*O13</f>
        <v>23125</v>
      </c>
      <c r="P16" s="446">
        <f t="shared" ca="1" si="14"/>
        <v>34375</v>
      </c>
      <c r="Q16" s="446">
        <f t="shared" ca="1" si="14"/>
        <v>54375</v>
      </c>
      <c r="U16" s="402"/>
    </row>
    <row r="17" spans="1:21" s="445" customFormat="1" hidden="1" outlineLevel="1" x14ac:dyDescent="0.2">
      <c r="A17" s="445" t="s">
        <v>221</v>
      </c>
      <c r="E17" s="446">
        <f ca="1">SUM(E15:E16)</f>
        <v>316.66666666666669</v>
      </c>
      <c r="F17" s="446">
        <f ca="1">SUM(F15:F16)</f>
        <v>1566.6666666666665</v>
      </c>
      <c r="G17" s="446">
        <f ca="1">SUM(G15:G16)</f>
        <v>7633.333333333333</v>
      </c>
      <c r="H17" s="446">
        <f ca="1">SUM(H15:H16)</f>
        <v>25000</v>
      </c>
      <c r="I17" s="446">
        <f ca="1">SUM(I15:I16)</f>
        <v>8629.1666666666661</v>
      </c>
      <c r="J17" s="446">
        <f t="shared" ref="J17:M17" ca="1" si="15">SUM(J15:J16)</f>
        <v>40000</v>
      </c>
      <c r="K17" s="446">
        <f t="shared" ca="1" si="15"/>
        <v>54166.666666666664</v>
      </c>
      <c r="L17" s="446">
        <f t="shared" ca="1" si="15"/>
        <v>65833.333333333328</v>
      </c>
      <c r="M17" s="446">
        <f t="shared" ca="1" si="15"/>
        <v>77500</v>
      </c>
      <c r="N17" s="446">
        <f t="shared" ref="N17:Q17" ca="1" si="16">SUM(N15:N16)</f>
        <v>59374.999999999993</v>
      </c>
      <c r="O17" s="446">
        <f t="shared" ca="1" si="16"/>
        <v>88125</v>
      </c>
      <c r="P17" s="446">
        <f t="shared" ca="1" si="16"/>
        <v>101875</v>
      </c>
      <c r="Q17" s="446">
        <f t="shared" ca="1" si="16"/>
        <v>124375</v>
      </c>
      <c r="U17" s="402"/>
    </row>
    <row r="18" spans="1:21" s="289" customFormat="1" collapsed="1" x14ac:dyDescent="0.2">
      <c r="U18" s="317"/>
    </row>
    <row r="19" spans="1:21" s="289" customFormat="1" x14ac:dyDescent="0.2">
      <c r="A19" s="443" t="s">
        <v>2261</v>
      </c>
      <c r="B19" s="443"/>
      <c r="C19" s="443"/>
      <c r="D19" s="443"/>
      <c r="E19" s="444">
        <f ca="1">+E114</f>
        <v>25357.138223222475</v>
      </c>
      <c r="F19" s="444">
        <f ca="1">+F114</f>
        <v>125451.1048938375</v>
      </c>
      <c r="G19" s="444">
        <f ca="1">+G114</f>
        <v>611240.48980188917</v>
      </c>
      <c r="H19" s="444">
        <f ca="1">+H114</f>
        <v>2001879.3334123006</v>
      </c>
      <c r="I19" s="444">
        <f ca="1">+SUM(E19:H19)</f>
        <v>2763928.0663312497</v>
      </c>
      <c r="J19" s="444">
        <f ca="1">+J114</f>
        <v>3036863.1212599655</v>
      </c>
      <c r="K19" s="444">
        <f ca="1">+K114</f>
        <v>4112418.8100395361</v>
      </c>
      <c r="L19" s="444">
        <f ca="1">+L114</f>
        <v>4998170.5537403589</v>
      </c>
      <c r="M19" s="444">
        <f ca="1">+M114</f>
        <v>5883922.2974411836</v>
      </c>
      <c r="N19" s="444">
        <f ca="1">+SUM(J19:M19)</f>
        <v>18031374.782481045</v>
      </c>
      <c r="O19" s="444">
        <f ca="1">+O114</f>
        <v>46858106.626943484</v>
      </c>
      <c r="P19" s="444">
        <f ca="1">+P114</f>
        <v>68838437.210031986</v>
      </c>
      <c r="Q19" s="444">
        <f ca="1">+Q114</f>
        <v>69871013.768182486</v>
      </c>
      <c r="U19" s="317"/>
    </row>
    <row r="20" spans="1:21" x14ac:dyDescent="0.2">
      <c r="A20" s="1" t="s">
        <v>208</v>
      </c>
      <c r="E20" s="425">
        <f>+E107</f>
        <v>35</v>
      </c>
      <c r="F20" s="425">
        <f>+F107</f>
        <v>35</v>
      </c>
      <c r="G20" s="425">
        <f>+G107</f>
        <v>35</v>
      </c>
      <c r="H20" s="425">
        <f>+H107</f>
        <v>35</v>
      </c>
      <c r="I20" s="425">
        <f>+I107</f>
        <v>35</v>
      </c>
      <c r="J20" s="425">
        <f t="shared" ref="J20:M20" si="17">+J107</f>
        <v>35</v>
      </c>
      <c r="K20" s="425">
        <f t="shared" si="17"/>
        <v>35</v>
      </c>
      <c r="L20" s="425">
        <f t="shared" si="17"/>
        <v>35</v>
      </c>
      <c r="M20" s="425">
        <f t="shared" si="17"/>
        <v>35</v>
      </c>
      <c r="N20" s="425">
        <f t="shared" ref="N20:Q20" si="18">+N107</f>
        <v>35</v>
      </c>
      <c r="O20" s="291">
        <f t="shared" si="18"/>
        <v>35</v>
      </c>
      <c r="P20" s="291">
        <f t="shared" si="18"/>
        <v>35</v>
      </c>
      <c r="Q20" s="291">
        <f t="shared" si="18"/>
        <v>35</v>
      </c>
      <c r="U20" s="10"/>
    </row>
    <row r="21" spans="1:21" s="5" customFormat="1" x14ac:dyDescent="0.2">
      <c r="A21" s="5" t="s">
        <v>202</v>
      </c>
      <c r="E21" s="426">
        <f ca="1">+E20*E19</f>
        <v>887499.83781278657</v>
      </c>
      <c r="F21" s="426">
        <f ca="1">+F20*F19</f>
        <v>4390788.6712843124</v>
      </c>
      <c r="G21" s="426">
        <f ca="1">+G20*G19</f>
        <v>21393417.143066119</v>
      </c>
      <c r="H21" s="426">
        <f ca="1">+H20*H19</f>
        <v>70065776.669430524</v>
      </c>
      <c r="I21" s="426">
        <f ca="1">+I20*I19</f>
        <v>96737482.321593732</v>
      </c>
      <c r="J21" s="426">
        <f t="shared" ref="J21:L21" ca="1" si="19">+J20*J19</f>
        <v>106290209.2440988</v>
      </c>
      <c r="K21" s="426">
        <f t="shared" ca="1" si="19"/>
        <v>143934658.35138378</v>
      </c>
      <c r="L21" s="426">
        <f t="shared" ca="1" si="19"/>
        <v>174935969.38091257</v>
      </c>
      <c r="M21" s="426">
        <f ca="1">+M20*M19</f>
        <v>205937280.41044143</v>
      </c>
      <c r="N21" s="426">
        <f t="shared" ref="N21:Q21" ca="1" si="20">+N20*N19</f>
        <v>631098117.38683653</v>
      </c>
      <c r="O21" s="292">
        <f ca="1">+O20*O19</f>
        <v>1640033731.943022</v>
      </c>
      <c r="P21" s="292">
        <f t="shared" ca="1" si="20"/>
        <v>2409345302.3511195</v>
      </c>
      <c r="Q21" s="292">
        <f t="shared" ca="1" si="20"/>
        <v>2445485481.8863869</v>
      </c>
    </row>
    <row r="22" spans="1:21" x14ac:dyDescent="0.2">
      <c r="A22" s="293" t="s">
        <v>210</v>
      </c>
      <c r="E22" s="289"/>
      <c r="F22" s="289"/>
      <c r="G22" s="289"/>
      <c r="H22" s="289"/>
      <c r="I22" s="289"/>
      <c r="J22" s="345">
        <f ca="1">+J21/E21-1</f>
        <v>118.76363793603325</v>
      </c>
      <c r="K22" s="345">
        <f ca="1">+K21/F21-1</f>
        <v>31.781048947473636</v>
      </c>
      <c r="L22" s="345">
        <f ca="1">+L21/G21-1</f>
        <v>7.1770933652650051</v>
      </c>
      <c r="M22" s="345">
        <f ca="1">+M21/H21-1</f>
        <v>1.9391992810134826</v>
      </c>
      <c r="N22" s="345">
        <f ca="1">+N21/I21-1</f>
        <v>5.523822020598141</v>
      </c>
      <c r="O22" s="294">
        <f t="shared" ref="O22" ca="1" si="21">+O21/N21-1</f>
        <v>1.5986985014847548</v>
      </c>
      <c r="P22" s="294">
        <f t="shared" ref="P22" ca="1" si="22">+P21/O21-1</f>
        <v>0.4690827727650817</v>
      </c>
      <c r="Q22" s="294">
        <f t="shared" ref="Q22" ca="1" si="23">+Q21/P21-1</f>
        <v>1.5000000000000124E-2</v>
      </c>
    </row>
    <row r="23" spans="1:21" s="289" customFormat="1" x14ac:dyDescent="0.2">
      <c r="A23" s="299"/>
      <c r="J23" s="345"/>
      <c r="K23" s="345"/>
      <c r="L23" s="345"/>
      <c r="M23" s="345"/>
      <c r="N23" s="345"/>
      <c r="O23" s="345"/>
      <c r="P23" s="345"/>
      <c r="Q23" s="345"/>
    </row>
    <row r="24" spans="1:21" x14ac:dyDescent="0.2">
      <c r="A24" s="1" t="s">
        <v>66</v>
      </c>
      <c r="E24" s="287">
        <f ca="1">+E153</f>
        <v>13.333333333333334</v>
      </c>
      <c r="F24" s="287">
        <f ca="1">+F153</f>
        <v>120</v>
      </c>
      <c r="G24" s="287">
        <f ca="1">+G153</f>
        <v>433.33333333333331</v>
      </c>
      <c r="H24" s="287">
        <f ca="1">+H153</f>
        <v>1000</v>
      </c>
      <c r="I24" s="287">
        <f ca="1">+I153</f>
        <v>391.66666666666669</v>
      </c>
      <c r="J24" s="287">
        <f t="shared" ref="J24:M24" ca="1" si="24">+J153</f>
        <v>1400</v>
      </c>
      <c r="K24" s="287">
        <f t="shared" ca="1" si="24"/>
        <v>1700</v>
      </c>
      <c r="L24" s="287">
        <f t="shared" ca="1" si="24"/>
        <v>2000</v>
      </c>
      <c r="M24" s="287">
        <f t="shared" ca="1" si="24"/>
        <v>2300</v>
      </c>
      <c r="N24" s="287">
        <f t="shared" ref="N24:Q24" ca="1" si="25">+N153</f>
        <v>1850</v>
      </c>
      <c r="O24" s="7">
        <f t="shared" ca="1" si="25"/>
        <v>3600</v>
      </c>
      <c r="P24" s="7">
        <f t="shared" ca="1" si="25"/>
        <v>4800</v>
      </c>
      <c r="Q24" s="7">
        <f t="shared" ca="1" si="25"/>
        <v>5600</v>
      </c>
    </row>
    <row r="25" spans="1:21" x14ac:dyDescent="0.2">
      <c r="A25" s="1" t="s">
        <v>222</v>
      </c>
      <c r="E25" s="287">
        <v>22</v>
      </c>
      <c r="F25" s="287">
        <v>22</v>
      </c>
      <c r="G25" s="287">
        <v>22</v>
      </c>
      <c r="H25" s="287">
        <v>22</v>
      </c>
      <c r="I25" s="287">
        <v>22</v>
      </c>
      <c r="J25" s="287">
        <v>22</v>
      </c>
      <c r="K25" s="287">
        <v>22</v>
      </c>
      <c r="L25" s="287">
        <v>22</v>
      </c>
      <c r="M25" s="287">
        <v>22</v>
      </c>
      <c r="N25" s="287">
        <v>22</v>
      </c>
      <c r="O25" s="7">
        <v>22</v>
      </c>
      <c r="P25" s="7">
        <v>22</v>
      </c>
      <c r="Q25" s="7">
        <v>22</v>
      </c>
    </row>
    <row r="26" spans="1:21" x14ac:dyDescent="0.2">
      <c r="A26" s="1" t="s">
        <v>223</v>
      </c>
      <c r="E26" s="287">
        <f ca="1">E159</f>
        <v>20</v>
      </c>
      <c r="F26" s="287">
        <f ca="1">F159</f>
        <v>20</v>
      </c>
      <c r="G26" s="287">
        <f ca="1">G159</f>
        <v>20</v>
      </c>
      <c r="H26" s="287">
        <f ca="1">H159</f>
        <v>20</v>
      </c>
      <c r="I26" s="287">
        <f ca="1">I159</f>
        <v>20</v>
      </c>
      <c r="J26" s="287">
        <f t="shared" ref="J26:M26" ca="1" si="26">J159</f>
        <v>20</v>
      </c>
      <c r="K26" s="287">
        <f t="shared" ca="1" si="26"/>
        <v>20</v>
      </c>
      <c r="L26" s="287">
        <f t="shared" ca="1" si="26"/>
        <v>20</v>
      </c>
      <c r="M26" s="287">
        <f t="shared" ca="1" si="26"/>
        <v>20</v>
      </c>
      <c r="N26" s="287">
        <f t="shared" ref="N26:Q26" ca="1" si="27">N159</f>
        <v>20</v>
      </c>
      <c r="O26" s="7">
        <f t="shared" ca="1" si="27"/>
        <v>20</v>
      </c>
      <c r="P26" s="7">
        <f t="shared" ca="1" si="27"/>
        <v>20</v>
      </c>
      <c r="Q26" s="7">
        <f t="shared" ca="1" si="27"/>
        <v>20</v>
      </c>
    </row>
    <row r="27" spans="1:21" x14ac:dyDescent="0.2">
      <c r="A27" s="1" t="s">
        <v>197</v>
      </c>
      <c r="E27" s="287">
        <f ca="1">E24*E25*E26*3</f>
        <v>17600.000000000004</v>
      </c>
      <c r="F27" s="287">
        <f t="shared" ref="F27:H27" ca="1" si="28">F24*F25*F26*3</f>
        <v>158400</v>
      </c>
      <c r="G27" s="287">
        <f t="shared" ca="1" si="28"/>
        <v>571999.99999999988</v>
      </c>
      <c r="H27" s="287">
        <f t="shared" ca="1" si="28"/>
        <v>1320000</v>
      </c>
      <c r="I27" s="287">
        <f ca="1">I24*I25*I26*12</f>
        <v>2068000.0000000005</v>
      </c>
      <c r="J27" s="287">
        <f ca="1">J24*J25*J26*3</f>
        <v>1848000</v>
      </c>
      <c r="K27" s="287">
        <f t="shared" ref="K27:M27" ca="1" si="29">K24*K25*K26*3</f>
        <v>2244000</v>
      </c>
      <c r="L27" s="287">
        <f t="shared" ca="1" si="29"/>
        <v>2640000</v>
      </c>
      <c r="M27" s="287">
        <f t="shared" ca="1" si="29"/>
        <v>3036000</v>
      </c>
      <c r="N27" s="287">
        <f t="shared" ref="N27:Q27" ca="1" si="30">N24*N25*N26*12</f>
        <v>9768000</v>
      </c>
      <c r="O27" s="7">
        <f t="shared" ca="1" si="30"/>
        <v>19008000</v>
      </c>
      <c r="P27" s="7">
        <f t="shared" ca="1" si="30"/>
        <v>25344000</v>
      </c>
      <c r="Q27" s="7">
        <f t="shared" ca="1" si="30"/>
        <v>29568000</v>
      </c>
    </row>
    <row r="28" spans="1:21" x14ac:dyDescent="0.2">
      <c r="A28" s="1" t="s">
        <v>208</v>
      </c>
      <c r="E28" s="425">
        <f>+E108</f>
        <v>35</v>
      </c>
      <c r="F28" s="425">
        <f>+F108</f>
        <v>35</v>
      </c>
      <c r="G28" s="425">
        <f>+G108</f>
        <v>35</v>
      </c>
      <c r="H28" s="425">
        <f>+H108</f>
        <v>35</v>
      </c>
      <c r="I28" s="425">
        <f>+I108</f>
        <v>35</v>
      </c>
      <c r="J28" s="425">
        <f t="shared" ref="J28:M28" si="31">+J108</f>
        <v>35</v>
      </c>
      <c r="K28" s="425">
        <f t="shared" si="31"/>
        <v>35</v>
      </c>
      <c r="L28" s="425">
        <f t="shared" si="31"/>
        <v>35</v>
      </c>
      <c r="M28" s="425">
        <f t="shared" si="31"/>
        <v>35</v>
      </c>
      <c r="N28" s="425">
        <f t="shared" ref="N28:Q28" si="32">+N108</f>
        <v>35</v>
      </c>
      <c r="O28" s="291">
        <f t="shared" si="32"/>
        <v>35</v>
      </c>
      <c r="P28" s="291">
        <f t="shared" si="32"/>
        <v>35</v>
      </c>
      <c r="Q28" s="291">
        <f t="shared" si="32"/>
        <v>35</v>
      </c>
    </row>
    <row r="29" spans="1:21" s="5" customFormat="1" x14ac:dyDescent="0.2">
      <c r="A29" s="5" t="s">
        <v>203</v>
      </c>
      <c r="E29" s="426">
        <f ca="1">+E28*E27</f>
        <v>616000.00000000012</v>
      </c>
      <c r="F29" s="426">
        <f ca="1">+F28*F27</f>
        <v>5544000</v>
      </c>
      <c r="G29" s="426">
        <f ca="1">+G28*G27</f>
        <v>20019999.999999996</v>
      </c>
      <c r="H29" s="426">
        <f ca="1">+H28*H27</f>
        <v>46200000</v>
      </c>
      <c r="I29" s="426">
        <f ca="1">+I28*I27</f>
        <v>72380000.000000015</v>
      </c>
      <c r="J29" s="426">
        <f t="shared" ref="J29:K29" ca="1" si="33">+J28*J27</f>
        <v>64680000</v>
      </c>
      <c r="K29" s="426">
        <f t="shared" ca="1" si="33"/>
        <v>78540000</v>
      </c>
      <c r="L29" s="426">
        <f t="shared" ref="L29:N29" ca="1" si="34">+L28*L27</f>
        <v>92400000</v>
      </c>
      <c r="M29" s="426">
        <f t="shared" ref="M29" ca="1" si="35">+M28*M27</f>
        <v>106260000</v>
      </c>
      <c r="N29" s="426">
        <f t="shared" ca="1" si="34"/>
        <v>341880000</v>
      </c>
      <c r="O29" s="292">
        <f t="shared" ref="O29" ca="1" si="36">+O28*O27</f>
        <v>665280000</v>
      </c>
      <c r="P29" s="292">
        <f t="shared" ref="P29" ca="1" si="37">+P28*P27</f>
        <v>887040000</v>
      </c>
      <c r="Q29" s="292">
        <f t="shared" ref="Q29" ca="1" si="38">+Q28*Q27</f>
        <v>1034880000</v>
      </c>
    </row>
    <row r="30" spans="1:21" s="289" customFormat="1" x14ac:dyDescent="0.2">
      <c r="A30" s="299" t="s">
        <v>210</v>
      </c>
      <c r="J30" s="345">
        <f ca="1">+J29/E29-1</f>
        <v>103.99999999999999</v>
      </c>
      <c r="K30" s="345">
        <f ca="1">+K29/F29-1</f>
        <v>13.166666666666666</v>
      </c>
      <c r="L30" s="345">
        <f ca="1">+L29/G29-1</f>
        <v>3.6153846153846159</v>
      </c>
      <c r="M30" s="345">
        <f ca="1">+M29/H29-1</f>
        <v>1.2999999999999998</v>
      </c>
      <c r="N30" s="345">
        <f ca="1">+N29/I29-1</f>
        <v>3.7234042553191475</v>
      </c>
      <c r="O30" s="345">
        <f t="shared" ref="O30" ca="1" si="39">+O29/N29-1</f>
        <v>0.94594594594594605</v>
      </c>
      <c r="P30" s="345">
        <f t="shared" ref="P30" ca="1" si="40">+P29/O29-1</f>
        <v>0.33333333333333326</v>
      </c>
      <c r="Q30" s="345">
        <f t="shared" ref="Q30" ca="1" si="41">+Q29/P29-1</f>
        <v>0.16666666666666674</v>
      </c>
    </row>
    <row r="31" spans="1:21" s="289" customFormat="1" x14ac:dyDescent="0.2">
      <c r="A31" s="299"/>
      <c r="J31" s="345"/>
      <c r="K31" s="345"/>
      <c r="L31" s="345"/>
      <c r="M31" s="345"/>
      <c r="N31" s="345"/>
      <c r="O31" s="345"/>
      <c r="P31" s="345"/>
      <c r="Q31" s="345"/>
    </row>
    <row r="32" spans="1:21" x14ac:dyDescent="0.2">
      <c r="A32" s="1" t="s">
        <v>205</v>
      </c>
      <c r="E32" s="310">
        <f ca="1">+E167</f>
        <v>0</v>
      </c>
      <c r="F32" s="310">
        <f ca="1">+F167</f>
        <v>26.666666666666668</v>
      </c>
      <c r="G32" s="310">
        <f ca="1">+G167</f>
        <v>90</v>
      </c>
      <c r="H32" s="310">
        <f ca="1">+H167</f>
        <v>150</v>
      </c>
      <c r="I32" s="310">
        <f ca="1">+I167</f>
        <v>66.666666666666671</v>
      </c>
      <c r="J32" s="310">
        <f t="shared" ref="J32:M32" ca="1" si="42">+J167</f>
        <v>210</v>
      </c>
      <c r="K32" s="310">
        <f t="shared" ca="1" si="42"/>
        <v>270</v>
      </c>
      <c r="L32" s="310">
        <f t="shared" ca="1" si="42"/>
        <v>330</v>
      </c>
      <c r="M32" s="310">
        <f t="shared" ca="1" si="42"/>
        <v>390</v>
      </c>
      <c r="N32" s="310">
        <f t="shared" ref="N32:Q32" ca="1" si="43">+N167</f>
        <v>300</v>
      </c>
      <c r="O32" s="310">
        <f t="shared" ca="1" si="43"/>
        <v>460</v>
      </c>
      <c r="P32" s="310">
        <f t="shared" ca="1" si="43"/>
        <v>510</v>
      </c>
      <c r="Q32" s="310">
        <f t="shared" ca="1" si="43"/>
        <v>560</v>
      </c>
    </row>
    <row r="33" spans="1:17" x14ac:dyDescent="0.2">
      <c r="A33" s="1" t="s">
        <v>222</v>
      </c>
      <c r="E33" s="289">
        <v>25</v>
      </c>
      <c r="F33" s="289">
        <v>25</v>
      </c>
      <c r="G33" s="289">
        <v>25</v>
      </c>
      <c r="H33" s="289">
        <v>25</v>
      </c>
      <c r="I33" s="289">
        <v>25</v>
      </c>
      <c r="J33" s="289">
        <v>25</v>
      </c>
      <c r="K33" s="289">
        <v>25</v>
      </c>
      <c r="L33" s="289">
        <v>25</v>
      </c>
      <c r="M33" s="289">
        <v>25</v>
      </c>
      <c r="N33" s="289">
        <v>25</v>
      </c>
      <c r="O33" s="289">
        <v>25</v>
      </c>
      <c r="P33" s="289">
        <v>25</v>
      </c>
      <c r="Q33" s="289">
        <v>25</v>
      </c>
    </row>
    <row r="34" spans="1:17" x14ac:dyDescent="0.2">
      <c r="A34" s="1" t="s">
        <v>223</v>
      </c>
      <c r="E34" s="289">
        <f ca="1">E173</f>
        <v>50</v>
      </c>
      <c r="F34" s="289">
        <f ca="1">F173</f>
        <v>50</v>
      </c>
      <c r="G34" s="289">
        <f ca="1">G173</f>
        <v>50</v>
      </c>
      <c r="H34" s="289">
        <f ca="1">H173</f>
        <v>50</v>
      </c>
      <c r="I34" s="289">
        <f ca="1">I173</f>
        <v>50</v>
      </c>
      <c r="J34" s="289">
        <f t="shared" ref="J34:M34" ca="1" si="44">J173</f>
        <v>50</v>
      </c>
      <c r="K34" s="289">
        <f t="shared" ca="1" si="44"/>
        <v>50</v>
      </c>
      <c r="L34" s="289">
        <f t="shared" ca="1" si="44"/>
        <v>50</v>
      </c>
      <c r="M34" s="289">
        <f t="shared" ca="1" si="44"/>
        <v>50</v>
      </c>
      <c r="N34" s="289">
        <f t="shared" ref="N34:Q34" ca="1" si="45">N173</f>
        <v>50</v>
      </c>
      <c r="O34" s="289">
        <f t="shared" ca="1" si="45"/>
        <v>50</v>
      </c>
      <c r="P34" s="289">
        <f t="shared" ca="1" si="45"/>
        <v>50</v>
      </c>
      <c r="Q34" s="289">
        <f t="shared" ca="1" si="45"/>
        <v>50</v>
      </c>
    </row>
    <row r="35" spans="1:17" x14ac:dyDescent="0.2">
      <c r="A35" s="1" t="s">
        <v>197</v>
      </c>
      <c r="E35" s="287">
        <f ca="1">E32*E34*E33*3</f>
        <v>0</v>
      </c>
      <c r="F35" s="287">
        <f t="shared" ref="F35:H35" ca="1" si="46">F32*F34*F33*3</f>
        <v>100000</v>
      </c>
      <c r="G35" s="287">
        <f t="shared" ca="1" si="46"/>
        <v>337500</v>
      </c>
      <c r="H35" s="287">
        <f t="shared" ca="1" si="46"/>
        <v>562500</v>
      </c>
      <c r="I35" s="287">
        <f ca="1">I32*I34*I33*12</f>
        <v>1000000.0000000001</v>
      </c>
      <c r="J35" s="287">
        <f ca="1">J32*J34*J33*3</f>
        <v>787500</v>
      </c>
      <c r="K35" s="287">
        <f t="shared" ref="K35:M35" ca="1" si="47">K32*K34*K33*3</f>
        <v>1012500</v>
      </c>
      <c r="L35" s="287">
        <f t="shared" ca="1" si="47"/>
        <v>1237500</v>
      </c>
      <c r="M35" s="287">
        <f t="shared" ca="1" si="47"/>
        <v>1462500</v>
      </c>
      <c r="N35" s="287">
        <f t="shared" ref="N35:Q35" ca="1" si="48">N32*N34*N33*12</f>
        <v>4500000</v>
      </c>
      <c r="O35" s="287">
        <f t="shared" ca="1" si="48"/>
        <v>6900000</v>
      </c>
      <c r="P35" s="287">
        <f t="shared" ca="1" si="48"/>
        <v>7650000</v>
      </c>
      <c r="Q35" s="287">
        <f t="shared" ca="1" si="48"/>
        <v>8400000</v>
      </c>
    </row>
    <row r="36" spans="1:17" x14ac:dyDescent="0.2">
      <c r="A36" s="1" t="str">
        <f>+A28</f>
        <v>Revenue / Requisition</v>
      </c>
      <c r="E36" s="425">
        <f>+'PFM Rev Model-Bottoms Up'!E109</f>
        <v>50</v>
      </c>
      <c r="F36" s="425">
        <f>+'PFM Rev Model-Bottoms Up'!F109</f>
        <v>50</v>
      </c>
      <c r="G36" s="425">
        <f>+'PFM Rev Model-Bottoms Up'!G109</f>
        <v>50</v>
      </c>
      <c r="H36" s="425">
        <f>+'PFM Rev Model-Bottoms Up'!H109</f>
        <v>50</v>
      </c>
      <c r="I36" s="425">
        <f>+'PFM Rev Model-Bottoms Up'!I109</f>
        <v>50</v>
      </c>
      <c r="J36" s="425">
        <f>+'PFM Rev Model-Bottoms Up'!J109</f>
        <v>50</v>
      </c>
      <c r="K36" s="425">
        <f>+'PFM Rev Model-Bottoms Up'!K109</f>
        <v>50</v>
      </c>
      <c r="L36" s="425">
        <f>+'PFM Rev Model-Bottoms Up'!L109</f>
        <v>50</v>
      </c>
      <c r="M36" s="425">
        <f>+'PFM Rev Model-Bottoms Up'!M109</f>
        <v>50</v>
      </c>
      <c r="N36" s="425">
        <f>+'PFM Rev Model-Bottoms Up'!N109</f>
        <v>50</v>
      </c>
      <c r="O36" s="291">
        <f>+'PFM Rev Model-Bottoms Up'!O109</f>
        <v>50</v>
      </c>
      <c r="P36" s="291">
        <f>+'PFM Rev Model-Bottoms Up'!P109</f>
        <v>50</v>
      </c>
      <c r="Q36" s="291">
        <f>+'PFM Rev Model-Bottoms Up'!Q109</f>
        <v>50</v>
      </c>
    </row>
    <row r="37" spans="1:17" x14ac:dyDescent="0.2">
      <c r="A37" s="5" t="s">
        <v>204</v>
      </c>
      <c r="E37" s="426">
        <f ca="1">+E36*E35</f>
        <v>0</v>
      </c>
      <c r="F37" s="426">
        <f ca="1">+F36*F35</f>
        <v>5000000</v>
      </c>
      <c r="G37" s="426">
        <f ca="1">+G36*G35</f>
        <v>16875000</v>
      </c>
      <c r="H37" s="426">
        <f ca="1">+H36*H35</f>
        <v>28125000</v>
      </c>
      <c r="I37" s="426">
        <f ca="1">+I36*I35</f>
        <v>50000000.000000007</v>
      </c>
      <c r="J37" s="426">
        <f t="shared" ref="J37:K37" ca="1" si="49">+J36*J35</f>
        <v>39375000</v>
      </c>
      <c r="K37" s="426">
        <f t="shared" ca="1" si="49"/>
        <v>50625000</v>
      </c>
      <c r="L37" s="426">
        <f t="shared" ref="L37:N37" ca="1" si="50">+L36*L35</f>
        <v>61875000</v>
      </c>
      <c r="M37" s="426">
        <f t="shared" ref="M37" ca="1" si="51">+M36*M35</f>
        <v>73125000</v>
      </c>
      <c r="N37" s="426">
        <f t="shared" ca="1" si="50"/>
        <v>225000000</v>
      </c>
      <c r="O37" s="292">
        <f t="shared" ref="O37" ca="1" si="52">+O36*O35</f>
        <v>345000000</v>
      </c>
      <c r="P37" s="292">
        <f t="shared" ref="P37" ca="1" si="53">+P36*P35</f>
        <v>382500000</v>
      </c>
      <c r="Q37" s="292">
        <f t="shared" ref="Q37" ca="1" si="54">+Q36*Q35</f>
        <v>420000000</v>
      </c>
    </row>
    <row r="38" spans="1:17" s="289" customFormat="1" x14ac:dyDescent="0.2">
      <c r="A38" s="299" t="s">
        <v>210</v>
      </c>
      <c r="J38" s="345" t="e">
        <f ca="1">+J37/E37-1</f>
        <v>#DIV/0!</v>
      </c>
      <c r="K38" s="345">
        <f ca="1">+K37/F37-1</f>
        <v>9.125</v>
      </c>
      <c r="L38" s="345">
        <f ca="1">+L37/G37-1</f>
        <v>2.6666666666666665</v>
      </c>
      <c r="M38" s="345">
        <f ca="1">+M37/H37-1</f>
        <v>1.6</v>
      </c>
      <c r="N38" s="345">
        <f ca="1">+N37/I37-1</f>
        <v>3.4999999999999991</v>
      </c>
      <c r="O38" s="345">
        <f t="shared" ref="O38" ca="1" si="55">+O37/N37-1</f>
        <v>0.53333333333333344</v>
      </c>
      <c r="P38" s="345">
        <f t="shared" ref="P38" ca="1" si="56">+P37/O37-1</f>
        <v>0.10869565217391308</v>
      </c>
      <c r="Q38" s="345">
        <f t="shared" ref="Q38" ca="1" si="57">+Q37/P37-1</f>
        <v>9.8039215686274606E-2</v>
      </c>
    </row>
    <row r="39" spans="1:17" s="289" customFormat="1" x14ac:dyDescent="0.2">
      <c r="A39" s="299"/>
      <c r="J39" s="345"/>
      <c r="K39" s="345"/>
      <c r="L39" s="345"/>
      <c r="M39" s="345"/>
      <c r="N39" s="345"/>
      <c r="O39" s="345"/>
      <c r="P39" s="345"/>
      <c r="Q39" s="345"/>
    </row>
    <row r="40" spans="1:17" x14ac:dyDescent="0.2">
      <c r="A40" s="1" t="s">
        <v>267</v>
      </c>
      <c r="E40" s="287">
        <f ca="1">+E181</f>
        <v>0</v>
      </c>
      <c r="F40" s="287">
        <f ca="1">+F181</f>
        <v>0</v>
      </c>
      <c r="G40" s="287">
        <f ca="1">+G181</f>
        <v>0</v>
      </c>
      <c r="H40" s="287">
        <f ca="1">+H181</f>
        <v>0</v>
      </c>
      <c r="I40" s="287">
        <f ca="1">+I181</f>
        <v>0</v>
      </c>
      <c r="J40" s="287">
        <f t="shared" ref="J40:M40" ca="1" si="58">+J181</f>
        <v>0</v>
      </c>
      <c r="K40" s="287">
        <f t="shared" ca="1" si="58"/>
        <v>26.666666666666668</v>
      </c>
      <c r="L40" s="287">
        <f t="shared" ca="1" si="58"/>
        <v>90</v>
      </c>
      <c r="M40" s="287">
        <f t="shared" ca="1" si="58"/>
        <v>150</v>
      </c>
      <c r="N40" s="287">
        <f t="shared" ref="N40:Q40" ca="1" si="59">+N181</f>
        <v>66.666666666666671</v>
      </c>
      <c r="O40" s="287">
        <f t="shared" ca="1" si="59"/>
        <v>200</v>
      </c>
      <c r="P40" s="287">
        <f t="shared" ca="1" si="59"/>
        <v>230</v>
      </c>
      <c r="Q40" s="287">
        <f t="shared" ca="1" si="59"/>
        <v>260</v>
      </c>
    </row>
    <row r="41" spans="1:17" x14ac:dyDescent="0.2">
      <c r="A41" s="1" t="s">
        <v>222</v>
      </c>
      <c r="E41" s="287">
        <v>30</v>
      </c>
      <c r="F41" s="287">
        <v>30</v>
      </c>
      <c r="G41" s="287">
        <v>30</v>
      </c>
      <c r="H41" s="287">
        <v>30</v>
      </c>
      <c r="I41" s="287">
        <v>30</v>
      </c>
      <c r="J41" s="287">
        <v>30</v>
      </c>
      <c r="K41" s="287">
        <v>30</v>
      </c>
      <c r="L41" s="287">
        <v>30</v>
      </c>
      <c r="M41" s="287">
        <v>30</v>
      </c>
      <c r="N41" s="287">
        <v>30</v>
      </c>
      <c r="O41" s="287">
        <v>30</v>
      </c>
      <c r="P41" s="287">
        <v>30</v>
      </c>
      <c r="Q41" s="287">
        <v>30</v>
      </c>
    </row>
    <row r="42" spans="1:17" x14ac:dyDescent="0.2">
      <c r="A42" s="1" t="s">
        <v>223</v>
      </c>
      <c r="E42" s="287">
        <f t="shared" ref="E42:Q42" ca="1" si="60">+E187</f>
        <v>100</v>
      </c>
      <c r="F42" s="287">
        <f t="shared" ca="1" si="60"/>
        <v>100</v>
      </c>
      <c r="G42" s="287">
        <f t="shared" ca="1" si="60"/>
        <v>100</v>
      </c>
      <c r="H42" s="287">
        <f t="shared" ca="1" si="60"/>
        <v>100</v>
      </c>
      <c r="I42" s="287">
        <f t="shared" ca="1" si="60"/>
        <v>100</v>
      </c>
      <c r="J42" s="287">
        <f t="shared" ca="1" si="60"/>
        <v>100</v>
      </c>
      <c r="K42" s="287">
        <f t="shared" ca="1" si="60"/>
        <v>100</v>
      </c>
      <c r="L42" s="287">
        <f t="shared" ca="1" si="60"/>
        <v>100</v>
      </c>
      <c r="M42" s="287">
        <f t="shared" ca="1" si="60"/>
        <v>100</v>
      </c>
      <c r="N42" s="287">
        <f t="shared" ca="1" si="60"/>
        <v>100</v>
      </c>
      <c r="O42" s="287">
        <f t="shared" ca="1" si="60"/>
        <v>100</v>
      </c>
      <c r="P42" s="287">
        <f t="shared" ca="1" si="60"/>
        <v>100</v>
      </c>
      <c r="Q42" s="287">
        <f t="shared" ca="1" si="60"/>
        <v>100</v>
      </c>
    </row>
    <row r="43" spans="1:17" x14ac:dyDescent="0.2">
      <c r="A43" s="1" t="s">
        <v>224</v>
      </c>
      <c r="E43" s="287">
        <f ca="1">E42*E41*E40*3</f>
        <v>0</v>
      </c>
      <c r="F43" s="287">
        <f t="shared" ref="F43:H43" ca="1" si="61">F42*F41*F40*3</f>
        <v>0</v>
      </c>
      <c r="G43" s="287">
        <f t="shared" ca="1" si="61"/>
        <v>0</v>
      </c>
      <c r="H43" s="287">
        <f t="shared" ca="1" si="61"/>
        <v>0</v>
      </c>
      <c r="I43" s="287">
        <f ca="1">I42*I41*I40*12</f>
        <v>0</v>
      </c>
      <c r="J43" s="287">
        <f ca="1">J42*J41*J40*3</f>
        <v>0</v>
      </c>
      <c r="K43" s="287">
        <f t="shared" ref="K43:M43" ca="1" si="62">K42*K41*K40*3</f>
        <v>240000</v>
      </c>
      <c r="L43" s="287">
        <f t="shared" ca="1" si="62"/>
        <v>810000</v>
      </c>
      <c r="M43" s="287">
        <f t="shared" ca="1" si="62"/>
        <v>1350000</v>
      </c>
      <c r="N43" s="287">
        <f t="shared" ref="N43:Q43" ca="1" si="63">N42*N41*N40*12</f>
        <v>2400000</v>
      </c>
      <c r="O43" s="287">
        <f t="shared" ca="1" si="63"/>
        <v>7200000</v>
      </c>
      <c r="P43" s="287">
        <f t="shared" ca="1" si="63"/>
        <v>8280000</v>
      </c>
      <c r="Q43" s="287">
        <f t="shared" ca="1" si="63"/>
        <v>9360000</v>
      </c>
    </row>
    <row r="44" spans="1:17" x14ac:dyDescent="0.2">
      <c r="A44" s="1" t="str">
        <f>+A36</f>
        <v>Revenue / Requisition</v>
      </c>
      <c r="E44" s="425">
        <f>+E110</f>
        <v>100</v>
      </c>
      <c r="F44" s="425">
        <f>+F110</f>
        <v>100</v>
      </c>
      <c r="G44" s="425">
        <f>+G110</f>
        <v>100</v>
      </c>
      <c r="H44" s="425">
        <f>+H110</f>
        <v>100</v>
      </c>
      <c r="I44" s="425">
        <f>+I110</f>
        <v>100</v>
      </c>
      <c r="J44" s="425">
        <f t="shared" ref="J44:M44" si="64">+J110</f>
        <v>100</v>
      </c>
      <c r="K44" s="425">
        <f t="shared" si="64"/>
        <v>100</v>
      </c>
      <c r="L44" s="425">
        <f t="shared" si="64"/>
        <v>100</v>
      </c>
      <c r="M44" s="425">
        <f t="shared" si="64"/>
        <v>100</v>
      </c>
      <c r="N44" s="425">
        <f t="shared" ref="N44:Q44" si="65">+N110</f>
        <v>100</v>
      </c>
      <c r="O44" s="291">
        <f t="shared" si="65"/>
        <v>100</v>
      </c>
      <c r="P44" s="291">
        <f t="shared" si="65"/>
        <v>100</v>
      </c>
      <c r="Q44" s="291">
        <f t="shared" si="65"/>
        <v>100</v>
      </c>
    </row>
    <row r="45" spans="1:17" x14ac:dyDescent="0.2">
      <c r="A45" s="5" t="s">
        <v>206</v>
      </c>
      <c r="E45" s="426">
        <f ca="1">E44*E43</f>
        <v>0</v>
      </c>
      <c r="F45" s="426">
        <f ca="1">F44*F43</f>
        <v>0</v>
      </c>
      <c r="G45" s="426">
        <f ca="1">G44*G43</f>
        <v>0</v>
      </c>
      <c r="H45" s="426">
        <f ca="1">H44*H43</f>
        <v>0</v>
      </c>
      <c r="I45" s="426">
        <f ca="1">I44*I43</f>
        <v>0</v>
      </c>
      <c r="J45" s="426">
        <f t="shared" ref="J45:M45" ca="1" si="66">J44*J43</f>
        <v>0</v>
      </c>
      <c r="K45" s="426">
        <f t="shared" ca="1" si="66"/>
        <v>24000000</v>
      </c>
      <c r="L45" s="426">
        <f t="shared" ca="1" si="66"/>
        <v>81000000</v>
      </c>
      <c r="M45" s="426">
        <f t="shared" ca="1" si="66"/>
        <v>135000000</v>
      </c>
      <c r="N45" s="426">
        <f t="shared" ref="N45:Q45" ca="1" si="67">N44*N43</f>
        <v>240000000</v>
      </c>
      <c r="O45" s="292">
        <f t="shared" ca="1" si="67"/>
        <v>720000000</v>
      </c>
      <c r="P45" s="292">
        <f t="shared" ca="1" si="67"/>
        <v>828000000</v>
      </c>
      <c r="Q45" s="292">
        <f t="shared" ca="1" si="67"/>
        <v>936000000</v>
      </c>
    </row>
    <row r="46" spans="1:17" s="289" customFormat="1" x14ac:dyDescent="0.2">
      <c r="A46" s="299" t="s">
        <v>210</v>
      </c>
      <c r="J46" s="345"/>
      <c r="K46" s="345"/>
      <c r="L46" s="345"/>
      <c r="M46" s="345"/>
      <c r="N46" s="345"/>
      <c r="O46" s="345">
        <f t="shared" ref="O46" ca="1" si="68">+O45/N45-1</f>
        <v>2</v>
      </c>
      <c r="P46" s="345">
        <f t="shared" ref="P46" ca="1" si="69">+P45/O45-1</f>
        <v>0.14999999999999991</v>
      </c>
      <c r="Q46" s="345">
        <f t="shared" ref="Q46" ca="1" si="70">+Q45/P45-1</f>
        <v>0.13043478260869557</v>
      </c>
    </row>
    <row r="47" spans="1:17" s="289" customFormat="1" x14ac:dyDescent="0.2">
      <c r="A47" s="299"/>
      <c r="N47" s="345"/>
      <c r="O47" s="345"/>
      <c r="P47" s="345"/>
      <c r="Q47" s="345"/>
    </row>
    <row r="48" spans="1:17" s="5" customFormat="1" x14ac:dyDescent="0.2">
      <c r="A48" s="281" t="s">
        <v>207</v>
      </c>
      <c r="B48" s="295"/>
      <c r="C48" s="295"/>
      <c r="D48" s="295"/>
      <c r="E48" s="430">
        <f t="shared" ref="E48:N48" ca="1" si="71">ROUND(+E45+E37+E29+E21, -6)</f>
        <v>2000000</v>
      </c>
      <c r="F48" s="430">
        <f t="shared" ca="1" si="71"/>
        <v>15000000</v>
      </c>
      <c r="G48" s="430">
        <f t="shared" ca="1" si="71"/>
        <v>58000000</v>
      </c>
      <c r="H48" s="430">
        <f t="shared" ca="1" si="71"/>
        <v>144000000</v>
      </c>
      <c r="I48" s="430">
        <f t="shared" ca="1" si="71"/>
        <v>219000000</v>
      </c>
      <c r="J48" s="430">
        <f t="shared" ca="1" si="71"/>
        <v>210000000</v>
      </c>
      <c r="K48" s="430">
        <f t="shared" ca="1" si="71"/>
        <v>297000000</v>
      </c>
      <c r="L48" s="430">
        <f t="shared" ca="1" si="71"/>
        <v>410000000</v>
      </c>
      <c r="M48" s="430">
        <f t="shared" ca="1" si="71"/>
        <v>520000000</v>
      </c>
      <c r="N48" s="430">
        <f t="shared" ca="1" si="71"/>
        <v>1438000000</v>
      </c>
      <c r="O48" s="296">
        <f t="shared" ref="O48:Q48" ca="1" si="72">ROUND(+O45+O37+O29+O21, -6)</f>
        <v>3370000000</v>
      </c>
      <c r="P48" s="296">
        <f t="shared" ca="1" si="72"/>
        <v>4507000000</v>
      </c>
      <c r="Q48" s="296">
        <f t="shared" ca="1" si="72"/>
        <v>4836000000</v>
      </c>
    </row>
    <row r="49" spans="1:19" s="289" customFormat="1" x14ac:dyDescent="0.2">
      <c r="A49" s="299" t="s">
        <v>210</v>
      </c>
      <c r="J49" s="345">
        <f ca="1">+J48/E48-1</f>
        <v>104</v>
      </c>
      <c r="K49" s="345">
        <f ca="1">+K48/F48-1</f>
        <v>18.8</v>
      </c>
      <c r="L49" s="345">
        <f ca="1">+L48/G48-1</f>
        <v>6.068965517241379</v>
      </c>
      <c r="M49" s="345">
        <f ca="1">+M48/H48-1</f>
        <v>2.6111111111111112</v>
      </c>
      <c r="N49" s="345">
        <f ca="1">+N48/I48-1</f>
        <v>5.5662100456621006</v>
      </c>
      <c r="O49" s="345">
        <f t="shared" ref="O49:Q49" ca="1" si="73">+O48/N48-1</f>
        <v>1.3435326842837272</v>
      </c>
      <c r="P49" s="345">
        <f t="shared" ca="1" si="73"/>
        <v>0.33738872403560838</v>
      </c>
      <c r="Q49" s="345">
        <f t="shared" ca="1" si="73"/>
        <v>7.2997559352118824E-2</v>
      </c>
    </row>
    <row r="50" spans="1:19" s="289" customFormat="1" x14ac:dyDescent="0.2">
      <c r="A50" s="299"/>
      <c r="N50" s="345"/>
      <c r="O50" s="345"/>
      <c r="P50" s="345"/>
      <c r="Q50" s="345"/>
    </row>
    <row r="51" spans="1:19" s="5" customFormat="1" x14ac:dyDescent="0.2">
      <c r="A51" s="10" t="s">
        <v>254</v>
      </c>
      <c r="B51" s="1"/>
      <c r="C51" s="1"/>
      <c r="D51" s="1"/>
      <c r="E51" s="289"/>
      <c r="F51" s="289"/>
      <c r="G51" s="289"/>
      <c r="H51" s="427">
        <f>+I51</f>
        <v>30000000</v>
      </c>
      <c r="I51" s="427">
        <f>'ProForma Income Stmt'!P16</f>
        <v>30000000</v>
      </c>
      <c r="J51" s="427">
        <f>+N51/4</f>
        <v>30000000</v>
      </c>
      <c r="K51" s="427">
        <f>+J51</f>
        <v>30000000</v>
      </c>
      <c r="L51" s="427">
        <f t="shared" ref="L51:M51" si="74">+K51</f>
        <v>30000000</v>
      </c>
      <c r="M51" s="427">
        <f t="shared" si="74"/>
        <v>30000000</v>
      </c>
      <c r="N51" s="427">
        <f>'ProForma Income Stmt'!Q16</f>
        <v>120000000</v>
      </c>
      <c r="O51" s="349">
        <f>N51+50000000</f>
        <v>170000000</v>
      </c>
      <c r="P51" s="349">
        <f t="shared" ref="P51:Q51" si="75">O51+50000000</f>
        <v>220000000</v>
      </c>
      <c r="Q51" s="349">
        <f t="shared" si="75"/>
        <v>270000000</v>
      </c>
      <c r="S51" s="1" t="s">
        <v>255</v>
      </c>
    </row>
    <row r="52" spans="1:19" s="289" customFormat="1" x14ac:dyDescent="0.2">
      <c r="N52" s="345"/>
      <c r="O52" s="345"/>
      <c r="P52" s="345"/>
      <c r="Q52" s="345"/>
    </row>
    <row r="53" spans="1:19" s="289" customFormat="1" hidden="1" outlineLevel="1" x14ac:dyDescent="0.2">
      <c r="A53" s="329" t="s">
        <v>265</v>
      </c>
      <c r="B53" s="329"/>
      <c r="C53" s="329"/>
      <c r="D53" s="329"/>
      <c r="E53" s="329"/>
      <c r="F53" s="329"/>
      <c r="G53" s="329"/>
      <c r="H53" s="329"/>
      <c r="I53" s="329"/>
      <c r="J53" s="329"/>
      <c r="K53" s="329"/>
      <c r="L53" s="329"/>
      <c r="M53" s="329"/>
      <c r="N53" s="423"/>
      <c r="O53" s="423"/>
      <c r="P53" s="423"/>
      <c r="Q53" s="423"/>
    </row>
    <row r="54" spans="1:19" s="289" customFormat="1" hidden="1" outlineLevel="1" x14ac:dyDescent="0.2">
      <c r="N54" s="345"/>
      <c r="O54" s="345"/>
      <c r="P54" s="345"/>
      <c r="Q54" s="345"/>
    </row>
    <row r="55" spans="1:19" hidden="1" outlineLevel="1" x14ac:dyDescent="0.2">
      <c r="A55" s="1" t="s">
        <v>4</v>
      </c>
      <c r="E55" s="289"/>
      <c r="F55" s="289"/>
      <c r="G55" s="289"/>
      <c r="H55" s="289"/>
      <c r="I55" s="431">
        <v>3000</v>
      </c>
      <c r="J55" s="431"/>
      <c r="K55" s="431"/>
      <c r="L55" s="431"/>
      <c r="M55" s="431"/>
      <c r="N55" s="326">
        <f>I55*(1+N$59)</f>
        <v>3060</v>
      </c>
      <c r="O55" s="276">
        <f t="shared" ref="O55:Q55" si="76">N55*(1+O$59)</f>
        <v>3121.2000000000003</v>
      </c>
      <c r="P55" s="276">
        <f t="shared" si="76"/>
        <v>3183.6240000000003</v>
      </c>
      <c r="Q55" s="276">
        <f t="shared" si="76"/>
        <v>3247.2964800000004</v>
      </c>
    </row>
    <row r="56" spans="1:19" hidden="1" outlineLevel="1" x14ac:dyDescent="0.2">
      <c r="A56" s="1" t="s">
        <v>5</v>
      </c>
      <c r="E56" s="289"/>
      <c r="F56" s="289"/>
      <c r="G56" s="289"/>
      <c r="H56" s="289"/>
      <c r="I56" s="431">
        <v>24000</v>
      </c>
      <c r="J56" s="431"/>
      <c r="K56" s="431"/>
      <c r="L56" s="431"/>
      <c r="M56" s="431"/>
      <c r="N56" s="326">
        <f>I56*(1+N$59)</f>
        <v>24480</v>
      </c>
      <c r="O56" s="276">
        <f t="shared" ref="O56:Q56" si="77">N56*(1+O$59)</f>
        <v>24969.600000000002</v>
      </c>
      <c r="P56" s="276">
        <f t="shared" si="77"/>
        <v>25468.992000000002</v>
      </c>
      <c r="Q56" s="276">
        <f t="shared" si="77"/>
        <v>25978.371840000003</v>
      </c>
    </row>
    <row r="57" spans="1:19" hidden="1" outlineLevel="1" x14ac:dyDescent="0.2">
      <c r="A57" s="6" t="s">
        <v>8</v>
      </c>
      <c r="B57" s="6"/>
      <c r="C57" s="6"/>
      <c r="D57" s="6"/>
      <c r="E57" s="328"/>
      <c r="F57" s="328"/>
      <c r="G57" s="328"/>
      <c r="H57" s="328"/>
      <c r="I57" s="432">
        <v>3000</v>
      </c>
      <c r="J57" s="432"/>
      <c r="K57" s="432"/>
      <c r="L57" s="432"/>
      <c r="M57" s="432"/>
      <c r="N57" s="331">
        <f>I57*(1+N$59)</f>
        <v>3060</v>
      </c>
      <c r="O57" s="314">
        <f t="shared" ref="O57:Q57" si="78">N57*(1+O$59)</f>
        <v>3121.2000000000003</v>
      </c>
      <c r="P57" s="314">
        <f t="shared" si="78"/>
        <v>3183.6240000000003</v>
      </c>
      <c r="Q57" s="314">
        <f t="shared" si="78"/>
        <v>3247.2964800000004</v>
      </c>
    </row>
    <row r="58" spans="1:19" hidden="1" outlineLevel="1" x14ac:dyDescent="0.2">
      <c r="A58" s="1" t="s">
        <v>225</v>
      </c>
      <c r="E58" s="289"/>
      <c r="F58" s="289"/>
      <c r="G58" s="289"/>
      <c r="H58" s="289"/>
      <c r="I58" s="427">
        <f>SUM(I55:I57)</f>
        <v>30000</v>
      </c>
      <c r="J58" s="427"/>
      <c r="K58" s="427"/>
      <c r="L58" s="427"/>
      <c r="M58" s="427"/>
      <c r="N58" s="427">
        <f>I58*(1+N59)</f>
        <v>30600</v>
      </c>
      <c r="O58" s="313">
        <f t="shared" ref="O58:Q58" si="79">N58*(1+O59)</f>
        <v>31212</v>
      </c>
      <c r="P58" s="313">
        <f t="shared" si="79"/>
        <v>31836.240000000002</v>
      </c>
      <c r="Q58" s="313">
        <f t="shared" si="79"/>
        <v>32472.964800000002</v>
      </c>
    </row>
    <row r="59" spans="1:19" s="4" customFormat="1" hidden="1" outlineLevel="1" x14ac:dyDescent="0.2">
      <c r="A59" s="4" t="s">
        <v>0</v>
      </c>
      <c r="E59" s="306"/>
      <c r="F59" s="306"/>
      <c r="G59" s="306"/>
      <c r="H59" s="306"/>
      <c r="I59" s="306"/>
      <c r="J59" s="345"/>
      <c r="K59" s="345"/>
      <c r="L59" s="345"/>
      <c r="M59" s="345"/>
      <c r="N59" s="343">
        <v>0.02</v>
      </c>
      <c r="O59" s="14">
        <v>0.02</v>
      </c>
      <c r="P59" s="14">
        <v>0.02</v>
      </c>
      <c r="Q59" s="14">
        <v>0.02</v>
      </c>
    </row>
    <row r="60" spans="1:19" s="289" customFormat="1" hidden="1" outlineLevel="1" x14ac:dyDescent="0.2">
      <c r="N60" s="345"/>
      <c r="O60" s="345"/>
      <c r="P60" s="345"/>
      <c r="Q60" s="345"/>
    </row>
    <row r="61" spans="1:19" hidden="1" outlineLevel="1" x14ac:dyDescent="0.2">
      <c r="A61" s="1" t="s">
        <v>226</v>
      </c>
      <c r="E61" s="289"/>
      <c r="F61" s="289"/>
      <c r="G61" s="289"/>
      <c r="H61" s="289"/>
      <c r="I61" s="427">
        <f ca="1">I29/1000000</f>
        <v>72.38000000000001</v>
      </c>
      <c r="J61" s="427"/>
      <c r="K61" s="427"/>
      <c r="L61" s="427"/>
      <c r="M61" s="427"/>
      <c r="N61" s="427">
        <f ca="1">N29/1000000</f>
        <v>341.88</v>
      </c>
      <c r="O61" s="313">
        <f ca="1">O29/1000000</f>
        <v>665.28</v>
      </c>
      <c r="P61" s="313">
        <f ca="1">P29/1000000</f>
        <v>887.04</v>
      </c>
      <c r="Q61" s="313">
        <f ca="1">Q29/1000000</f>
        <v>1034.8800000000001</v>
      </c>
    </row>
    <row r="62" spans="1:19" hidden="1" outlineLevel="1" x14ac:dyDescent="0.2">
      <c r="A62" s="6" t="s">
        <v>227</v>
      </c>
      <c r="B62" s="6"/>
      <c r="C62" s="6"/>
      <c r="D62" s="6"/>
      <c r="E62" s="328"/>
      <c r="F62" s="328"/>
      <c r="G62" s="328"/>
      <c r="H62" s="328"/>
      <c r="I62" s="331">
        <f ca="1">I21/1000000</f>
        <v>96.737482321593731</v>
      </c>
      <c r="J62" s="331"/>
      <c r="K62" s="331"/>
      <c r="L62" s="331"/>
      <c r="M62" s="331"/>
      <c r="N62" s="331">
        <f ca="1">N21/1000000</f>
        <v>631.09811738683652</v>
      </c>
      <c r="O62" s="314">
        <f ca="1">O21/1000000</f>
        <v>1640.0337319430221</v>
      </c>
      <c r="P62" s="314">
        <f ca="1">P21/1000000</f>
        <v>2409.3453023511197</v>
      </c>
      <c r="Q62" s="314">
        <f ca="1">Q21/1000000</f>
        <v>2445.4854818863869</v>
      </c>
      <c r="S62" s="1" t="s">
        <v>266</v>
      </c>
    </row>
    <row r="63" spans="1:19" s="5" customFormat="1" hidden="1" outlineLevel="1" x14ac:dyDescent="0.2">
      <c r="A63" s="3" t="s">
        <v>228</v>
      </c>
      <c r="B63" s="3"/>
      <c r="C63" s="3"/>
      <c r="D63" s="3"/>
      <c r="E63" s="324"/>
      <c r="F63" s="324"/>
      <c r="G63" s="324"/>
      <c r="H63" s="324"/>
      <c r="I63" s="333">
        <f ca="1">I62+I61+I58</f>
        <v>30169.117482321595</v>
      </c>
      <c r="J63" s="333"/>
      <c r="K63" s="333"/>
      <c r="L63" s="333"/>
      <c r="M63" s="333"/>
      <c r="N63" s="333">
        <f t="shared" ref="N63:Q63" ca="1" si="80">N62+N61+N58</f>
        <v>31572.978117386836</v>
      </c>
      <c r="O63" s="20">
        <f t="shared" ca="1" si="80"/>
        <v>33517.313731943024</v>
      </c>
      <c r="P63" s="20">
        <f t="shared" ca="1" si="80"/>
        <v>35132.625302351124</v>
      </c>
      <c r="Q63" s="20">
        <f t="shared" ca="1" si="80"/>
        <v>35953.330281886389</v>
      </c>
    </row>
    <row r="64" spans="1:19" s="5" customFormat="1" hidden="1" outlineLevel="1" x14ac:dyDescent="0.2">
      <c r="A64" s="4" t="s">
        <v>0</v>
      </c>
      <c r="B64" s="3"/>
      <c r="C64" s="3"/>
      <c r="D64" s="3"/>
      <c r="E64" s="324"/>
      <c r="F64" s="324"/>
      <c r="G64" s="324"/>
      <c r="H64" s="324"/>
      <c r="I64" s="333"/>
      <c r="J64" s="333"/>
      <c r="K64" s="333"/>
      <c r="L64" s="333"/>
      <c r="M64" s="333"/>
      <c r="N64" s="337">
        <f ca="1">N63/I63-1</f>
        <v>4.6533036171438225E-2</v>
      </c>
      <c r="O64" s="315">
        <f t="shared" ref="O64:Q64" ca="1" si="81">O63/N63-1</f>
        <v>6.1582268461569889E-2</v>
      </c>
      <c r="P64" s="315">
        <f t="shared" ca="1" si="81"/>
        <v>4.8193348170043171E-2</v>
      </c>
      <c r="Q64" s="315">
        <f t="shared" ca="1" si="81"/>
        <v>2.3360195045837973E-2</v>
      </c>
    </row>
    <row r="65" spans="1:17" s="5" customFormat="1" hidden="1" outlineLevel="1" x14ac:dyDescent="0.2">
      <c r="A65" s="4" t="s">
        <v>230</v>
      </c>
      <c r="B65" s="3"/>
      <c r="C65" s="3"/>
      <c r="D65" s="3"/>
      <c r="E65" s="324"/>
      <c r="F65" s="324"/>
      <c r="G65" s="324"/>
      <c r="H65" s="324"/>
      <c r="I65" s="337">
        <f ca="1">SUM(I61:I62)/I63</f>
        <v>5.6056489693705053E-3</v>
      </c>
      <c r="J65" s="345"/>
      <c r="K65" s="345"/>
      <c r="L65" s="345"/>
      <c r="M65" s="345"/>
      <c r="N65" s="337">
        <f t="shared" ref="N65:Q65" ca="1" si="82">SUM(N61:N62)/N63</f>
        <v>3.0816798902192563E-2</v>
      </c>
      <c r="O65" s="315">
        <f t="shared" ca="1" si="82"/>
        <v>6.877978797405794E-2</v>
      </c>
      <c r="P65" s="315">
        <f t="shared" ca="1" si="82"/>
        <v>9.3826899469722266E-2</v>
      </c>
      <c r="Q65" s="315">
        <f t="shared" ca="1" si="82"/>
        <v>9.6802311624518037E-2</v>
      </c>
    </row>
    <row r="66" spans="1:17" s="289" customFormat="1" hidden="1" outlineLevel="1" x14ac:dyDescent="0.2">
      <c r="N66" s="345"/>
      <c r="O66" s="345"/>
      <c r="P66" s="345"/>
      <c r="Q66" s="345"/>
    </row>
    <row r="67" spans="1:17" hidden="1" outlineLevel="1" x14ac:dyDescent="0.2">
      <c r="A67" s="1" t="s">
        <v>6</v>
      </c>
      <c r="E67" s="289"/>
      <c r="F67" s="289"/>
      <c r="G67" s="289"/>
      <c r="H67" s="289"/>
      <c r="I67" s="431">
        <v>15000</v>
      </c>
      <c r="J67" s="431"/>
      <c r="K67" s="431"/>
      <c r="L67" s="431"/>
      <c r="M67" s="431"/>
      <c r="N67" s="326">
        <f>I67*(1+N$70)</f>
        <v>15300</v>
      </c>
      <c r="O67" s="276">
        <f t="shared" ref="O67:Q68" si="83">N67*(1+O$70)</f>
        <v>15606</v>
      </c>
      <c r="P67" s="276">
        <f t="shared" si="83"/>
        <v>15918.12</v>
      </c>
      <c r="Q67" s="276">
        <f t="shared" si="83"/>
        <v>16236.482400000001</v>
      </c>
    </row>
    <row r="68" spans="1:17" hidden="1" outlineLevel="1" x14ac:dyDescent="0.2">
      <c r="A68" s="6" t="s">
        <v>7</v>
      </c>
      <c r="B68" s="6"/>
      <c r="C68" s="6"/>
      <c r="D68" s="6"/>
      <c r="E68" s="328"/>
      <c r="F68" s="328"/>
      <c r="G68" s="328"/>
      <c r="H68" s="328"/>
      <c r="I68" s="432">
        <v>28000</v>
      </c>
      <c r="J68" s="432"/>
      <c r="K68" s="432"/>
      <c r="L68" s="432"/>
      <c r="M68" s="432"/>
      <c r="N68" s="331">
        <f>I68*(1+N$70)</f>
        <v>28560</v>
      </c>
      <c r="O68" s="314">
        <f t="shared" si="83"/>
        <v>29131.200000000001</v>
      </c>
      <c r="P68" s="314">
        <f t="shared" si="83"/>
        <v>29713.824000000001</v>
      </c>
      <c r="Q68" s="314">
        <f t="shared" si="83"/>
        <v>30308.100480000001</v>
      </c>
    </row>
    <row r="69" spans="1:17" hidden="1" outlineLevel="1" x14ac:dyDescent="0.2">
      <c r="A69" s="1" t="s">
        <v>231</v>
      </c>
      <c r="E69" s="289"/>
      <c r="F69" s="289"/>
      <c r="G69" s="289"/>
      <c r="H69" s="289"/>
      <c r="I69" s="427">
        <f>SUM(I66:I68)</f>
        <v>43000</v>
      </c>
      <c r="J69" s="427"/>
      <c r="K69" s="427"/>
      <c r="L69" s="427"/>
      <c r="M69" s="427"/>
      <c r="N69" s="427">
        <f>I69*(1+N70)</f>
        <v>43860</v>
      </c>
      <c r="O69" s="313">
        <f t="shared" ref="O69" si="84">N69*(1+O70)</f>
        <v>44737.200000000004</v>
      </c>
      <c r="P69" s="313">
        <f t="shared" ref="P69" si="85">O69*(1+P70)</f>
        <v>45631.944000000003</v>
      </c>
      <c r="Q69" s="313">
        <f t="shared" ref="Q69" si="86">P69*(1+Q70)</f>
        <v>46544.582880000002</v>
      </c>
    </row>
    <row r="70" spans="1:17" s="4" customFormat="1" hidden="1" outlineLevel="1" x14ac:dyDescent="0.2">
      <c r="A70" s="4" t="s">
        <v>0</v>
      </c>
      <c r="E70" s="306"/>
      <c r="F70" s="306"/>
      <c r="G70" s="306"/>
      <c r="H70" s="306"/>
      <c r="I70" s="306"/>
      <c r="J70" s="306"/>
      <c r="K70" s="306"/>
      <c r="L70" s="306"/>
      <c r="M70" s="306"/>
      <c r="N70" s="343">
        <v>0.02</v>
      </c>
      <c r="O70" s="14">
        <v>0.02</v>
      </c>
      <c r="P70" s="14">
        <v>0.02</v>
      </c>
      <c r="Q70" s="14">
        <v>0.02</v>
      </c>
    </row>
    <row r="71" spans="1:17" s="289" customFormat="1" hidden="1" outlineLevel="1" x14ac:dyDescent="0.2">
      <c r="N71" s="345"/>
      <c r="O71" s="345"/>
      <c r="P71" s="345"/>
      <c r="Q71" s="345"/>
    </row>
    <row r="72" spans="1:17" hidden="1" outlineLevel="1" x14ac:dyDescent="0.2">
      <c r="A72" s="1" t="s">
        <v>232</v>
      </c>
      <c r="E72" s="289"/>
      <c r="F72" s="289"/>
      <c r="G72" s="289"/>
      <c r="H72" s="289"/>
      <c r="I72" s="427">
        <f ca="1">I37/1000000</f>
        <v>50.000000000000007</v>
      </c>
      <c r="J72" s="427"/>
      <c r="K72" s="427"/>
      <c r="L72" s="427"/>
      <c r="M72" s="427"/>
      <c r="N72" s="427">
        <f ca="1">N37/1000000</f>
        <v>225</v>
      </c>
      <c r="O72" s="313">
        <f ca="1">O37/1000000</f>
        <v>345</v>
      </c>
      <c r="P72" s="313">
        <f ca="1">P37/1000000</f>
        <v>382.5</v>
      </c>
      <c r="Q72" s="313">
        <f ca="1">Q37/1000000</f>
        <v>420</v>
      </c>
    </row>
    <row r="73" spans="1:17" hidden="1" outlineLevel="1" x14ac:dyDescent="0.2">
      <c r="A73" s="6" t="s">
        <v>233</v>
      </c>
      <c r="B73" s="6"/>
      <c r="C73" s="6"/>
      <c r="D73" s="6"/>
      <c r="E73" s="328"/>
      <c r="F73" s="328"/>
      <c r="G73" s="328"/>
      <c r="H73" s="328"/>
      <c r="I73" s="331">
        <f ca="1">I45/1000000</f>
        <v>0</v>
      </c>
      <c r="J73" s="331"/>
      <c r="K73" s="331"/>
      <c r="L73" s="331"/>
      <c r="M73" s="331"/>
      <c r="N73" s="331">
        <f ca="1">N45/1000000</f>
        <v>240</v>
      </c>
      <c r="O73" s="314">
        <f ca="1">O45/1000000</f>
        <v>720</v>
      </c>
      <c r="P73" s="314">
        <f ca="1">P45/1000000</f>
        <v>828</v>
      </c>
      <c r="Q73" s="314">
        <f ca="1">Q45/1000000</f>
        <v>936</v>
      </c>
    </row>
    <row r="74" spans="1:17" s="3" customFormat="1" hidden="1" outlineLevel="1" x14ac:dyDescent="0.2">
      <c r="A74" s="3" t="s">
        <v>234</v>
      </c>
      <c r="E74" s="324"/>
      <c r="F74" s="324"/>
      <c r="G74" s="324"/>
      <c r="H74" s="324"/>
      <c r="I74" s="333">
        <f ca="1">SUM(I72:I73)+I69</f>
        <v>43050</v>
      </c>
      <c r="J74" s="333"/>
      <c r="K74" s="333"/>
      <c r="L74" s="333"/>
      <c r="M74" s="333"/>
      <c r="N74" s="333">
        <f t="shared" ref="N74:Q74" ca="1" si="87">SUM(N72:N73)+N69</f>
        <v>44325</v>
      </c>
      <c r="O74" s="20">
        <f t="shared" ca="1" si="87"/>
        <v>45802.200000000004</v>
      </c>
      <c r="P74" s="20">
        <f t="shared" ca="1" si="87"/>
        <v>46842.444000000003</v>
      </c>
      <c r="Q74" s="20">
        <f t="shared" ca="1" si="87"/>
        <v>47900.582880000002</v>
      </c>
    </row>
    <row r="75" spans="1:17" s="3" customFormat="1" hidden="1" outlineLevel="1" x14ac:dyDescent="0.2">
      <c r="A75" s="4" t="s">
        <v>0</v>
      </c>
      <c r="E75" s="324"/>
      <c r="F75" s="324"/>
      <c r="G75" s="324"/>
      <c r="H75" s="324"/>
      <c r="I75" s="324"/>
      <c r="J75" s="324"/>
      <c r="K75" s="324"/>
      <c r="L75" s="324"/>
      <c r="M75" s="324"/>
      <c r="N75" s="337">
        <f ca="1">N74/I74-1</f>
        <v>2.9616724738676048E-2</v>
      </c>
      <c r="O75" s="315">
        <f t="shared" ref="O75:Q75" ca="1" si="88">O74/N74-1</f>
        <v>3.3326565143824149E-2</v>
      </c>
      <c r="P75" s="315">
        <f t="shared" ca="1" si="88"/>
        <v>2.2711660138595935E-2</v>
      </c>
      <c r="Q75" s="315">
        <f t="shared" ca="1" si="88"/>
        <v>2.258931835409772E-2</v>
      </c>
    </row>
    <row r="76" spans="1:17" s="3" customFormat="1" hidden="1" outlineLevel="1" x14ac:dyDescent="0.2">
      <c r="A76" s="4" t="s">
        <v>230</v>
      </c>
      <c r="E76" s="324"/>
      <c r="F76" s="324"/>
      <c r="G76" s="324"/>
      <c r="H76" s="324"/>
      <c r="I76" s="337">
        <f ca="1">SUM(I72:I73)/I74</f>
        <v>1.1614401858304299E-3</v>
      </c>
      <c r="J76" s="337"/>
      <c r="K76" s="337"/>
      <c r="L76" s="337"/>
      <c r="M76" s="337"/>
      <c r="N76" s="337">
        <f t="shared" ref="N76:Q76" ca="1" si="89">SUM(N72:N73)/N74</f>
        <v>1.0490693739424704E-2</v>
      </c>
      <c r="O76" s="315">
        <f t="shared" ca="1" si="89"/>
        <v>2.3252158193274558E-2</v>
      </c>
      <c r="P76" s="315">
        <f t="shared" ca="1" si="89"/>
        <v>2.5841947956430283E-2</v>
      </c>
      <c r="Q76" s="315">
        <f t="shared" ca="1" si="89"/>
        <v>2.8308632556665037E-2</v>
      </c>
    </row>
    <row r="77" spans="1:17" s="324" customFormat="1" hidden="1" outlineLevel="1" x14ac:dyDescent="0.2">
      <c r="N77" s="424"/>
      <c r="O77" s="424"/>
      <c r="P77" s="424"/>
      <c r="Q77" s="424"/>
    </row>
    <row r="78" spans="1:17" s="3" customFormat="1" hidden="1" outlineLevel="1" x14ac:dyDescent="0.2">
      <c r="A78" s="3" t="s">
        <v>229</v>
      </c>
      <c r="E78" s="324"/>
      <c r="F78" s="324"/>
      <c r="G78" s="324"/>
      <c r="H78" s="324"/>
      <c r="I78" s="333">
        <f ca="1">I74+I63</f>
        <v>73219.117482321599</v>
      </c>
      <c r="J78" s="333"/>
      <c r="K78" s="333"/>
      <c r="L78" s="333"/>
      <c r="M78" s="333"/>
      <c r="N78" s="333">
        <f t="shared" ref="N78:Q78" ca="1" si="90">N74+N63</f>
        <v>75897.97811738684</v>
      </c>
      <c r="O78" s="20">
        <f t="shared" ca="1" si="90"/>
        <v>79319.513731943036</v>
      </c>
      <c r="P78" s="20">
        <f t="shared" ca="1" si="90"/>
        <v>81975.069302351127</v>
      </c>
      <c r="Q78" s="20">
        <f t="shared" ca="1" si="90"/>
        <v>83853.91316188639</v>
      </c>
    </row>
    <row r="79" spans="1:17" s="3" customFormat="1" hidden="1" outlineLevel="1" x14ac:dyDescent="0.2">
      <c r="A79" s="4" t="s">
        <v>0</v>
      </c>
      <c r="E79" s="324"/>
      <c r="F79" s="324"/>
      <c r="G79" s="324"/>
      <c r="H79" s="324"/>
      <c r="I79" s="317"/>
      <c r="J79" s="317"/>
      <c r="K79" s="317"/>
      <c r="L79" s="317"/>
      <c r="M79" s="317"/>
      <c r="N79" s="337">
        <f ca="1">N78/I78-1</f>
        <v>3.658690144294674E-2</v>
      </c>
      <c r="O79" s="315">
        <f t="shared" ref="O79:Q79" ca="1" si="91">O78/N78-1</f>
        <v>4.5080721508342636E-2</v>
      </c>
      <c r="P79" s="315">
        <f t="shared" ca="1" si="91"/>
        <v>3.3479221511397927E-2</v>
      </c>
      <c r="Q79" s="315">
        <f t="shared" ca="1" si="91"/>
        <v>2.2919698336642647E-2</v>
      </c>
    </row>
    <row r="80" spans="1:17" s="3" customFormat="1" hidden="1" outlineLevel="1" x14ac:dyDescent="0.2">
      <c r="A80" s="4" t="s">
        <v>230</v>
      </c>
      <c r="E80" s="324"/>
      <c r="F80" s="324"/>
      <c r="G80" s="324"/>
      <c r="H80" s="324"/>
      <c r="I80" s="337">
        <f ca="1">SUM(I72:I73,I61:I62)/I78</f>
        <v>2.9926266507445762E-3</v>
      </c>
      <c r="J80" s="337"/>
      <c r="K80" s="337"/>
      <c r="L80" s="337"/>
      <c r="M80" s="337"/>
      <c r="N80" s="337">
        <f t="shared" ref="N80:Q80" ca="1" si="92">SUM(N72:N73,N61:N62)/N78</f>
        <v>1.8946197949605482E-2</v>
      </c>
      <c r="O80" s="315">
        <f t="shared" ca="1" si="92"/>
        <v>4.2490347877482654E-2</v>
      </c>
      <c r="P80" s="315">
        <f t="shared" ca="1" si="92"/>
        <v>5.497873122532216E-2</v>
      </c>
      <c r="Q80" s="315">
        <f t="shared" ca="1" si="92"/>
        <v>5.7676085700966793E-2</v>
      </c>
    </row>
    <row r="81" spans="1:19" s="324" customFormat="1" hidden="1" outlineLevel="1" x14ac:dyDescent="0.2">
      <c r="A81" s="306"/>
      <c r="I81" s="337"/>
      <c r="J81" s="337"/>
      <c r="K81" s="337"/>
      <c r="L81" s="337"/>
      <c r="M81" s="337"/>
      <c r="N81" s="337"/>
      <c r="O81" s="337"/>
      <c r="P81" s="337"/>
      <c r="Q81" s="337"/>
    </row>
    <row r="82" spans="1:19" s="324" customFormat="1" hidden="1" outlineLevel="2" x14ac:dyDescent="0.2">
      <c r="A82" s="411" t="s">
        <v>247</v>
      </c>
      <c r="I82" s="337"/>
      <c r="J82" s="405"/>
      <c r="K82" s="405"/>
      <c r="L82" s="405"/>
      <c r="M82" s="405"/>
      <c r="N82" s="405"/>
      <c r="O82" s="337"/>
      <c r="P82" s="337"/>
      <c r="Q82" s="337"/>
    </row>
    <row r="83" spans="1:19" s="3" customFormat="1" hidden="1" outlineLevel="2" x14ac:dyDescent="0.2">
      <c r="A83" s="4"/>
      <c r="E83" s="324"/>
      <c r="F83" s="324"/>
      <c r="G83" s="324"/>
      <c r="H83" s="324"/>
      <c r="I83" s="324"/>
      <c r="J83" s="401"/>
      <c r="K83" s="401"/>
      <c r="L83" s="401"/>
      <c r="M83" s="401"/>
      <c r="N83" s="433"/>
      <c r="O83" s="316"/>
      <c r="P83" s="316"/>
      <c r="Q83" s="316"/>
    </row>
    <row r="84" spans="1:19" s="324" customFormat="1" hidden="1" outlineLevel="2" x14ac:dyDescent="0.2">
      <c r="A84" s="289" t="s">
        <v>235</v>
      </c>
      <c r="C84" s="325">
        <v>0.15</v>
      </c>
      <c r="I84" s="326">
        <f ca="1">$C84*I$78</f>
        <v>10982.86762234824</v>
      </c>
      <c r="J84" s="406"/>
      <c r="K84" s="406"/>
      <c r="L84" s="406"/>
      <c r="M84" s="406"/>
      <c r="N84" s="406">
        <f t="shared" ref="N84:Q86" ca="1" si="93">$C84*N$78</f>
        <v>11384.696717608025</v>
      </c>
      <c r="O84" s="326">
        <f t="shared" ca="1" si="93"/>
        <v>11897.927059791455</v>
      </c>
      <c r="P84" s="326">
        <f t="shared" ca="1" si="93"/>
        <v>12296.260395352669</v>
      </c>
      <c r="Q84" s="326">
        <f t="shared" ca="1" si="93"/>
        <v>12578.086974282958</v>
      </c>
    </row>
    <row r="85" spans="1:19" s="324" customFormat="1" hidden="1" outlineLevel="2" x14ac:dyDescent="0.2">
      <c r="A85" s="289" t="s">
        <v>236</v>
      </c>
      <c r="C85" s="327">
        <v>0.03</v>
      </c>
      <c r="I85" s="326">
        <f t="shared" ref="I85:I86" ca="1" si="94">$C85*I$78</f>
        <v>2196.573524469648</v>
      </c>
      <c r="J85" s="406"/>
      <c r="K85" s="406"/>
      <c r="L85" s="406"/>
      <c r="M85" s="406"/>
      <c r="N85" s="406">
        <f t="shared" ca="1" si="93"/>
        <v>2276.9393435216052</v>
      </c>
      <c r="O85" s="326">
        <f t="shared" ca="1" si="93"/>
        <v>2379.5854119582909</v>
      </c>
      <c r="P85" s="326">
        <f t="shared" ca="1" si="93"/>
        <v>2459.2520790705339</v>
      </c>
      <c r="Q85" s="326">
        <f t="shared" ca="1" si="93"/>
        <v>2515.6173948565915</v>
      </c>
    </row>
    <row r="86" spans="1:19" s="324" customFormat="1" hidden="1" outlineLevel="2" x14ac:dyDescent="0.2">
      <c r="A86" s="328" t="s">
        <v>237</v>
      </c>
      <c r="B86" s="329"/>
      <c r="C86" s="330">
        <v>0.08</v>
      </c>
      <c r="D86" s="329"/>
      <c r="E86" s="329"/>
      <c r="F86" s="329"/>
      <c r="G86" s="329"/>
      <c r="H86" s="329"/>
      <c r="I86" s="331">
        <f t="shared" ca="1" si="94"/>
        <v>5857.5293985857279</v>
      </c>
      <c r="J86" s="403"/>
      <c r="K86" s="403"/>
      <c r="L86" s="403"/>
      <c r="M86" s="403"/>
      <c r="N86" s="403">
        <f t="shared" ca="1" si="93"/>
        <v>6071.8382493909476</v>
      </c>
      <c r="O86" s="331">
        <f t="shared" ca="1" si="93"/>
        <v>6345.5610985554431</v>
      </c>
      <c r="P86" s="331">
        <f t="shared" ca="1" si="93"/>
        <v>6558.0055441880904</v>
      </c>
      <c r="Q86" s="331">
        <f t="shared" ca="1" si="93"/>
        <v>6708.3130529509117</v>
      </c>
    </row>
    <row r="87" spans="1:19" s="324" customFormat="1" hidden="1" outlineLevel="2" x14ac:dyDescent="0.2">
      <c r="A87" s="332" t="s">
        <v>246</v>
      </c>
      <c r="I87" s="333">
        <f ca="1">SUM(I84:I86)</f>
        <v>19036.970545403616</v>
      </c>
      <c r="J87" s="404"/>
      <c r="K87" s="404"/>
      <c r="L87" s="404"/>
      <c r="M87" s="404"/>
      <c r="N87" s="404">
        <f t="shared" ref="N87:Q87" ca="1" si="95">SUM(N84:N86)</f>
        <v>19733.474310520578</v>
      </c>
      <c r="O87" s="333">
        <f t="shared" ca="1" si="95"/>
        <v>20623.073570305191</v>
      </c>
      <c r="P87" s="333">
        <f t="shared" ca="1" si="95"/>
        <v>21313.518018611292</v>
      </c>
      <c r="Q87" s="333">
        <f t="shared" ca="1" si="95"/>
        <v>21802.017422090463</v>
      </c>
    </row>
    <row r="88" spans="1:19" s="324" customFormat="1" hidden="1" outlineLevel="2" x14ac:dyDescent="0.2">
      <c r="A88" s="306" t="s">
        <v>0</v>
      </c>
      <c r="I88" s="333"/>
      <c r="J88" s="404"/>
      <c r="K88" s="404"/>
      <c r="L88" s="404"/>
      <c r="M88" s="404"/>
      <c r="N88" s="434">
        <f ca="1">N87/I87-1</f>
        <v>3.658690144294674E-2</v>
      </c>
      <c r="O88" s="334">
        <f t="shared" ref="O88:Q88" ca="1" si="96">O87/N87-1</f>
        <v>4.5080721508342636E-2</v>
      </c>
      <c r="P88" s="334">
        <f t="shared" ca="1" si="96"/>
        <v>3.3479221511397927E-2</v>
      </c>
      <c r="Q88" s="334">
        <f t="shared" ca="1" si="96"/>
        <v>2.2919698336642869E-2</v>
      </c>
    </row>
    <row r="89" spans="1:19" s="324" customFormat="1" hidden="1" outlineLevel="2" x14ac:dyDescent="0.2">
      <c r="A89" s="306"/>
      <c r="I89" s="333"/>
      <c r="J89" s="404"/>
      <c r="K89" s="404"/>
      <c r="L89" s="404"/>
      <c r="M89" s="404"/>
      <c r="N89" s="434"/>
      <c r="O89" s="334"/>
      <c r="P89" s="334"/>
      <c r="Q89" s="334"/>
    </row>
    <row r="90" spans="1:19" s="324" customFormat="1" hidden="1" outlineLevel="2" x14ac:dyDescent="0.2">
      <c r="A90" s="332" t="s">
        <v>256</v>
      </c>
      <c r="I90" s="333">
        <f ca="1">I48/1000000</f>
        <v>219</v>
      </c>
      <c r="J90" s="404"/>
      <c r="K90" s="404"/>
      <c r="L90" s="404"/>
      <c r="M90" s="404"/>
      <c r="N90" s="404">
        <f t="shared" ref="N90:Q90" ca="1" si="97">N48/1000000</f>
        <v>1438</v>
      </c>
      <c r="O90" s="333">
        <f t="shared" ca="1" si="97"/>
        <v>3370</v>
      </c>
      <c r="P90" s="333">
        <f t="shared" ca="1" si="97"/>
        <v>4507</v>
      </c>
      <c r="Q90" s="333">
        <f t="shared" ca="1" si="97"/>
        <v>4836</v>
      </c>
    </row>
    <row r="91" spans="1:19" s="324" customFormat="1" hidden="1" outlineLevel="2" x14ac:dyDescent="0.2">
      <c r="A91" s="306"/>
      <c r="I91" s="333"/>
      <c r="J91" s="404"/>
      <c r="K91" s="404"/>
      <c r="L91" s="404"/>
      <c r="M91" s="404"/>
      <c r="N91" s="434"/>
      <c r="O91" s="334"/>
      <c r="P91" s="334"/>
      <c r="Q91" s="334"/>
    </row>
    <row r="92" spans="1:19" s="324" customFormat="1" hidden="1" outlineLevel="2" x14ac:dyDescent="0.2">
      <c r="A92" s="289" t="s">
        <v>242</v>
      </c>
      <c r="I92" s="326">
        <f ca="1">I93*I90</f>
        <v>98.55</v>
      </c>
      <c r="J92" s="406"/>
      <c r="K92" s="406"/>
      <c r="L92" s="406"/>
      <c r="M92" s="406"/>
      <c r="N92" s="406">
        <f t="shared" ref="N92:Q92" ca="1" si="98">N93*N90</f>
        <v>575.20000000000005</v>
      </c>
      <c r="O92" s="326">
        <f t="shared" ca="1" si="98"/>
        <v>1179.5</v>
      </c>
      <c r="P92" s="326">
        <f t="shared" ca="1" si="98"/>
        <v>1352.1000000000001</v>
      </c>
      <c r="Q92" s="326">
        <f t="shared" ca="1" si="98"/>
        <v>1209.0000000000002</v>
      </c>
    </row>
    <row r="93" spans="1:19" s="324" customFormat="1" hidden="1" outlineLevel="2" x14ac:dyDescent="0.2">
      <c r="A93" s="4" t="s">
        <v>245</v>
      </c>
      <c r="I93" s="335">
        <v>0.45</v>
      </c>
      <c r="J93" s="407"/>
      <c r="K93" s="407"/>
      <c r="L93" s="407"/>
      <c r="M93" s="407"/>
      <c r="N93" s="435">
        <f>I93-5%</f>
        <v>0.4</v>
      </c>
      <c r="O93" s="338">
        <f t="shared" ref="O93:Q93" si="99">N93-5%</f>
        <v>0.35000000000000003</v>
      </c>
      <c r="P93" s="338">
        <f t="shared" si="99"/>
        <v>0.30000000000000004</v>
      </c>
      <c r="Q93" s="338">
        <f t="shared" si="99"/>
        <v>0.25000000000000006</v>
      </c>
      <c r="S93" s="317" t="s">
        <v>249</v>
      </c>
    </row>
    <row r="94" spans="1:19" s="324" customFormat="1" hidden="1" outlineLevel="2" x14ac:dyDescent="0.2">
      <c r="A94" s="4" t="s">
        <v>230</v>
      </c>
      <c r="I94" s="337">
        <f ca="1">I92/I84</f>
        <v>8.9730663601432972E-3</v>
      </c>
      <c r="J94" s="405"/>
      <c r="K94" s="405"/>
      <c r="L94" s="405"/>
      <c r="M94" s="405"/>
      <c r="N94" s="405">
        <f t="shared" ref="N94:Q94" ca="1" si="100">N92/N84</f>
        <v>5.0523963375359207E-2</v>
      </c>
      <c r="O94" s="337">
        <f t="shared" ca="1" si="100"/>
        <v>9.9134916029706616E-2</v>
      </c>
      <c r="P94" s="337">
        <f t="shared" ca="1" si="100"/>
        <v>0.10996026080506736</v>
      </c>
      <c r="Q94" s="337">
        <f t="shared" ca="1" si="100"/>
        <v>9.6119545243399149E-2</v>
      </c>
      <c r="S94" s="317" t="s">
        <v>248</v>
      </c>
    </row>
    <row r="95" spans="1:19" s="324" customFormat="1" hidden="1" outlineLevel="2" x14ac:dyDescent="0.2">
      <c r="A95" s="306"/>
      <c r="I95" s="337"/>
      <c r="J95" s="405"/>
      <c r="K95" s="405"/>
      <c r="L95" s="405"/>
      <c r="M95" s="405"/>
      <c r="N95" s="405"/>
      <c r="O95" s="337"/>
      <c r="P95" s="337"/>
      <c r="Q95" s="337"/>
    </row>
    <row r="96" spans="1:19" s="324" customFormat="1" hidden="1" outlineLevel="2" x14ac:dyDescent="0.2">
      <c r="A96" s="289" t="s">
        <v>243</v>
      </c>
      <c r="I96" s="326">
        <f ca="1">I97*I90</f>
        <v>98.55</v>
      </c>
      <c r="J96" s="406"/>
      <c r="K96" s="406"/>
      <c r="L96" s="406"/>
      <c r="M96" s="406"/>
      <c r="N96" s="406">
        <f t="shared" ref="N96:Q96" ca="1" si="101">N97*N90</f>
        <v>575.20000000000005</v>
      </c>
      <c r="O96" s="326">
        <f t="shared" ca="1" si="101"/>
        <v>1179.5</v>
      </c>
      <c r="P96" s="326">
        <f t="shared" ca="1" si="101"/>
        <v>1352.1000000000001</v>
      </c>
      <c r="Q96" s="326">
        <f t="shared" ca="1" si="101"/>
        <v>1209.0000000000002</v>
      </c>
    </row>
    <row r="97" spans="1:19" s="324" customFormat="1" hidden="1" outlineLevel="2" x14ac:dyDescent="0.2">
      <c r="A97" s="4" t="s">
        <v>245</v>
      </c>
      <c r="I97" s="335">
        <v>0.45</v>
      </c>
      <c r="J97" s="407"/>
      <c r="K97" s="407"/>
      <c r="L97" s="407"/>
      <c r="M97" s="407"/>
      <c r="N97" s="435">
        <f>I97-5%</f>
        <v>0.4</v>
      </c>
      <c r="O97" s="338">
        <f t="shared" ref="O97:Q97" si="102">N97-5%</f>
        <v>0.35000000000000003</v>
      </c>
      <c r="P97" s="338">
        <f t="shared" si="102"/>
        <v>0.30000000000000004</v>
      </c>
      <c r="Q97" s="338">
        <f t="shared" si="102"/>
        <v>0.25000000000000006</v>
      </c>
    </row>
    <row r="98" spans="1:19" s="324" customFormat="1" hidden="1" outlineLevel="2" x14ac:dyDescent="0.2">
      <c r="A98" s="4" t="s">
        <v>230</v>
      </c>
      <c r="I98" s="336">
        <f ca="1">I96/I85</f>
        <v>4.4865331800716488E-2</v>
      </c>
      <c r="J98" s="408"/>
      <c r="K98" s="408"/>
      <c r="L98" s="408"/>
      <c r="M98" s="408"/>
      <c r="N98" s="408">
        <f t="shared" ref="N98:Q98" ca="1" si="103">N96/N85</f>
        <v>0.25261981687679602</v>
      </c>
      <c r="O98" s="336">
        <f t="shared" ca="1" si="103"/>
        <v>0.49567458014853311</v>
      </c>
      <c r="P98" s="336">
        <f t="shared" ca="1" si="103"/>
        <v>0.54980130402533678</v>
      </c>
      <c r="Q98" s="336">
        <f t="shared" ca="1" si="103"/>
        <v>0.48059772621699576</v>
      </c>
    </row>
    <row r="99" spans="1:19" s="324" customFormat="1" hidden="1" outlineLevel="2" x14ac:dyDescent="0.2">
      <c r="A99" s="306"/>
      <c r="I99" s="336"/>
      <c r="J99" s="408"/>
      <c r="K99" s="408"/>
      <c r="L99" s="408"/>
      <c r="M99" s="408"/>
      <c r="N99" s="408"/>
      <c r="O99" s="336"/>
      <c r="P99" s="336"/>
      <c r="Q99" s="336"/>
    </row>
    <row r="100" spans="1:19" s="324" customFormat="1" hidden="1" outlineLevel="2" x14ac:dyDescent="0.2">
      <c r="A100" s="289" t="s">
        <v>244</v>
      </c>
      <c r="I100" s="333"/>
      <c r="J100" s="404"/>
      <c r="K100" s="404"/>
      <c r="L100" s="404"/>
      <c r="M100" s="404"/>
      <c r="N100" s="434"/>
      <c r="O100" s="326">
        <f ca="1">O101*O90</f>
        <v>67.400000000000006</v>
      </c>
      <c r="P100" s="326">
        <f t="shared" ref="P100:Q100" ca="1" si="104">P101*P90</f>
        <v>225.35000000000002</v>
      </c>
      <c r="Q100" s="326">
        <f t="shared" ca="1" si="104"/>
        <v>483.6</v>
      </c>
    </row>
    <row r="101" spans="1:19" s="324" customFormat="1" hidden="1" outlineLevel="2" x14ac:dyDescent="0.2">
      <c r="A101" s="4" t="s">
        <v>245</v>
      </c>
      <c r="I101" s="333"/>
      <c r="J101" s="404"/>
      <c r="K101" s="404"/>
      <c r="L101" s="404"/>
      <c r="M101" s="404"/>
      <c r="N101" s="434"/>
      <c r="O101" s="338">
        <v>0.02</v>
      </c>
      <c r="P101" s="338">
        <v>0.05</v>
      </c>
      <c r="Q101" s="338">
        <v>0.1</v>
      </c>
      <c r="S101" s="317" t="s">
        <v>250</v>
      </c>
    </row>
    <row r="102" spans="1:19" s="324" customFormat="1" hidden="1" outlineLevel="2" x14ac:dyDescent="0.2">
      <c r="A102" s="4" t="s">
        <v>230</v>
      </c>
      <c r="I102" s="333"/>
      <c r="J102" s="404"/>
      <c r="K102" s="404"/>
      <c r="L102" s="404"/>
      <c r="M102" s="404"/>
      <c r="N102" s="434"/>
      <c r="O102" s="339">
        <f ca="1">O100/O86</f>
        <v>1.0621598146039994E-2</v>
      </c>
      <c r="P102" s="339">
        <f t="shared" ref="P102:Q102" ca="1" si="105">P100/P86</f>
        <v>3.4362581501583549E-2</v>
      </c>
      <c r="Q102" s="339">
        <f t="shared" ca="1" si="105"/>
        <v>7.2089658932549344E-2</v>
      </c>
    </row>
    <row r="103" spans="1:19" s="324" customFormat="1" hidden="1" outlineLevel="2" x14ac:dyDescent="0.2">
      <c r="A103" s="332"/>
      <c r="I103" s="333"/>
      <c r="J103" s="404"/>
      <c r="K103" s="404"/>
      <c r="L103" s="404"/>
      <c r="M103" s="404"/>
      <c r="N103" s="404"/>
      <c r="O103" s="333"/>
      <c r="P103" s="333"/>
      <c r="Q103" s="333"/>
    </row>
    <row r="104" spans="1:19" s="289" customFormat="1" hidden="1" outlineLevel="1" collapsed="1" x14ac:dyDescent="0.2">
      <c r="A104" s="329" t="s">
        <v>184</v>
      </c>
      <c r="B104" s="328"/>
      <c r="C104" s="328"/>
      <c r="D104" s="328"/>
      <c r="E104" s="328"/>
      <c r="F104" s="328"/>
      <c r="G104" s="328"/>
      <c r="H104" s="328"/>
      <c r="I104" s="328"/>
      <c r="J104" s="328"/>
      <c r="K104" s="328"/>
      <c r="L104" s="328"/>
      <c r="M104" s="328"/>
      <c r="N104" s="328"/>
      <c r="O104" s="328"/>
      <c r="P104" s="328"/>
      <c r="Q104" s="328"/>
    </row>
    <row r="105" spans="1:19" s="289" customFormat="1" hidden="1" outlineLevel="1" x14ac:dyDescent="0.2">
      <c r="A105" s="324"/>
      <c r="B105" s="317"/>
      <c r="C105" s="317"/>
      <c r="D105" s="317"/>
      <c r="E105" s="317"/>
      <c r="F105" s="317"/>
      <c r="G105" s="317"/>
      <c r="H105" s="317"/>
      <c r="I105" s="317"/>
      <c r="J105" s="317"/>
      <c r="K105" s="317"/>
      <c r="L105" s="317"/>
      <c r="M105" s="317"/>
      <c r="N105" s="317"/>
      <c r="O105" s="317"/>
      <c r="P105" s="317"/>
      <c r="Q105" s="317"/>
    </row>
    <row r="106" spans="1:19" s="289" customFormat="1" hidden="1" outlineLevel="1" x14ac:dyDescent="0.2">
      <c r="A106" s="307" t="s">
        <v>192</v>
      </c>
      <c r="B106" s="317"/>
      <c r="C106" s="317"/>
      <c r="D106" s="317"/>
      <c r="E106" s="317"/>
      <c r="F106" s="317"/>
      <c r="G106" s="317"/>
      <c r="H106" s="317"/>
      <c r="I106" s="317"/>
      <c r="J106" s="317"/>
      <c r="K106" s="317"/>
      <c r="L106" s="317"/>
      <c r="M106" s="317"/>
      <c r="N106" s="317"/>
      <c r="O106" s="317"/>
      <c r="P106" s="317"/>
      <c r="Q106" s="317"/>
    </row>
    <row r="107" spans="1:19" hidden="1" outlineLevel="1" x14ac:dyDescent="0.2">
      <c r="A107" s="10" t="s">
        <v>193</v>
      </c>
      <c r="B107" s="10"/>
      <c r="C107" s="10"/>
      <c r="D107" s="10"/>
      <c r="E107" s="410">
        <f>+I107</f>
        <v>35</v>
      </c>
      <c r="F107" s="410">
        <f>+E107</f>
        <v>35</v>
      </c>
      <c r="G107" s="410">
        <f t="shared" ref="G107:H107" si="106">+F107</f>
        <v>35</v>
      </c>
      <c r="H107" s="410">
        <f t="shared" si="106"/>
        <v>35</v>
      </c>
      <c r="I107" s="410">
        <f>+'Macro Assumptions'!C16</f>
        <v>35</v>
      </c>
      <c r="J107" s="410">
        <f>+E107</f>
        <v>35</v>
      </c>
      <c r="K107" s="410">
        <f>+F107</f>
        <v>35</v>
      </c>
      <c r="L107" s="410">
        <f>+G107</f>
        <v>35</v>
      </c>
      <c r="M107" s="410">
        <f>+H107</f>
        <v>35</v>
      </c>
      <c r="N107" s="410">
        <f>+I107</f>
        <v>35</v>
      </c>
      <c r="O107" s="297">
        <f t="shared" ref="O107:Q107" si="107">+N107</f>
        <v>35</v>
      </c>
      <c r="P107" s="297">
        <f t="shared" si="107"/>
        <v>35</v>
      </c>
      <c r="Q107" s="297">
        <f t="shared" si="107"/>
        <v>35</v>
      </c>
    </row>
    <row r="108" spans="1:19" hidden="1" outlineLevel="1" x14ac:dyDescent="0.2">
      <c r="A108" s="10" t="s">
        <v>194</v>
      </c>
      <c r="B108" s="10"/>
      <c r="C108" s="10"/>
      <c r="D108" s="10"/>
      <c r="E108" s="410">
        <f t="shared" ref="E108:E110" si="108">+I108</f>
        <v>35</v>
      </c>
      <c r="F108" s="410">
        <f t="shared" ref="F108:H110" si="109">+E108</f>
        <v>35</v>
      </c>
      <c r="G108" s="410">
        <f t="shared" si="109"/>
        <v>35</v>
      </c>
      <c r="H108" s="410">
        <f t="shared" si="109"/>
        <v>35</v>
      </c>
      <c r="I108" s="410">
        <f>+I107</f>
        <v>35</v>
      </c>
      <c r="J108" s="410">
        <f t="shared" ref="J108:M108" si="110">+J107</f>
        <v>35</v>
      </c>
      <c r="K108" s="410">
        <f t="shared" si="110"/>
        <v>35</v>
      </c>
      <c r="L108" s="410">
        <f t="shared" si="110"/>
        <v>35</v>
      </c>
      <c r="M108" s="410">
        <f t="shared" si="110"/>
        <v>35</v>
      </c>
      <c r="N108" s="410">
        <f t="shared" ref="N108:Q108" si="111">+N107</f>
        <v>35</v>
      </c>
      <c r="O108" s="297">
        <f t="shared" si="111"/>
        <v>35</v>
      </c>
      <c r="P108" s="297">
        <f t="shared" si="111"/>
        <v>35</v>
      </c>
      <c r="Q108" s="297">
        <f t="shared" si="111"/>
        <v>35</v>
      </c>
    </row>
    <row r="109" spans="1:19" hidden="1" outlineLevel="1" x14ac:dyDescent="0.2">
      <c r="A109" s="10" t="s">
        <v>195</v>
      </c>
      <c r="B109" s="10"/>
      <c r="C109" s="10"/>
      <c r="D109" s="10"/>
      <c r="E109" s="410">
        <f t="shared" si="108"/>
        <v>50</v>
      </c>
      <c r="F109" s="410">
        <f t="shared" si="109"/>
        <v>50</v>
      </c>
      <c r="G109" s="410">
        <f t="shared" si="109"/>
        <v>50</v>
      </c>
      <c r="H109" s="410">
        <f t="shared" si="109"/>
        <v>50</v>
      </c>
      <c r="I109" s="410">
        <v>50</v>
      </c>
      <c r="J109" s="410">
        <v>50</v>
      </c>
      <c r="K109" s="410">
        <v>50</v>
      </c>
      <c r="L109" s="410">
        <v>50</v>
      </c>
      <c r="M109" s="410">
        <v>50</v>
      </c>
      <c r="N109" s="410">
        <v>50</v>
      </c>
      <c r="O109" s="297">
        <v>50</v>
      </c>
      <c r="P109" s="297">
        <v>50</v>
      </c>
      <c r="Q109" s="297">
        <v>50</v>
      </c>
    </row>
    <row r="110" spans="1:19" hidden="1" outlineLevel="1" x14ac:dyDescent="0.2">
      <c r="A110" s="10" t="s">
        <v>196</v>
      </c>
      <c r="B110" s="10"/>
      <c r="C110" s="10"/>
      <c r="D110" s="10"/>
      <c r="E110" s="410">
        <f t="shared" si="108"/>
        <v>100</v>
      </c>
      <c r="F110" s="410">
        <f t="shared" si="109"/>
        <v>100</v>
      </c>
      <c r="G110" s="410">
        <f t="shared" si="109"/>
        <v>100</v>
      </c>
      <c r="H110" s="410">
        <f t="shared" si="109"/>
        <v>100</v>
      </c>
      <c r="I110" s="410">
        <v>100</v>
      </c>
      <c r="J110" s="410">
        <v>100</v>
      </c>
      <c r="K110" s="410">
        <v>100</v>
      </c>
      <c r="L110" s="410">
        <v>100</v>
      </c>
      <c r="M110" s="410">
        <v>100</v>
      </c>
      <c r="N110" s="410">
        <v>100</v>
      </c>
      <c r="O110" s="297">
        <v>100</v>
      </c>
      <c r="P110" s="297">
        <v>100</v>
      </c>
      <c r="Q110" s="297">
        <v>100</v>
      </c>
    </row>
    <row r="111" spans="1:19" s="289" customFormat="1" hidden="1" outlineLevel="1" x14ac:dyDescent="0.2">
      <c r="A111" s="324"/>
      <c r="B111" s="317"/>
      <c r="C111" s="317"/>
      <c r="D111" s="317"/>
      <c r="E111" s="317"/>
      <c r="F111" s="317"/>
      <c r="G111" s="317"/>
      <c r="H111" s="317"/>
      <c r="I111" s="317"/>
      <c r="J111" s="317"/>
      <c r="K111" s="317"/>
      <c r="L111" s="317"/>
      <c r="M111" s="317"/>
      <c r="N111" s="317"/>
      <c r="O111" s="317"/>
      <c r="P111" s="317"/>
      <c r="Q111" s="317"/>
    </row>
    <row r="112" spans="1:19" collapsed="1" x14ac:dyDescent="0.2">
      <c r="A112" s="12" t="s">
        <v>2260</v>
      </c>
    </row>
    <row r="113" spans="1:22" s="289" customFormat="1" x14ac:dyDescent="0.2">
      <c r="A113" s="289" t="s">
        <v>197</v>
      </c>
      <c r="D113" s="412">
        <v>2</v>
      </c>
      <c r="E113" s="457" t="s">
        <v>2263</v>
      </c>
      <c r="F113" s="413"/>
      <c r="G113" s="413"/>
    </row>
    <row r="114" spans="1:22" s="289" customFormat="1" x14ac:dyDescent="0.2">
      <c r="A114" s="303" t="str">
        <f ca="1">+OFFSET(A114,$D$113,0)</f>
        <v>PFM Base (8% Penetration Ramp)</v>
      </c>
      <c r="B114" s="304"/>
      <c r="C114" s="304"/>
      <c r="D114" s="304"/>
      <c r="E114" s="421">
        <f ca="1">+OFFSET(E114,$D$113,0)</f>
        <v>25357.138223222475</v>
      </c>
      <c r="F114" s="421">
        <f ca="1">+OFFSET(F114,$D$113,0)</f>
        <v>125451.1048938375</v>
      </c>
      <c r="G114" s="421">
        <f ca="1">+OFFSET(G114,$D$113,0)</f>
        <v>611240.48980188917</v>
      </c>
      <c r="H114" s="421">
        <f ca="1">+OFFSET(H114,$D$113,0)</f>
        <v>2001879.3334123006</v>
      </c>
      <c r="I114" s="454">
        <f ca="1">SUM(E114:H114)</f>
        <v>2763928.0663312497</v>
      </c>
      <c r="J114" s="421">
        <f ca="1">+OFFSET(J114,$D$113,0)</f>
        <v>3036863.1212599655</v>
      </c>
      <c r="K114" s="421">
        <f ca="1">+OFFSET(K114,$D$113,0)</f>
        <v>4112418.8100395361</v>
      </c>
      <c r="L114" s="421">
        <f ca="1">+OFFSET(L114,$D$113,0)</f>
        <v>4998170.5537403589</v>
      </c>
      <c r="M114" s="421">
        <f ca="1">+OFFSET(M114,$D$113,0)</f>
        <v>5883922.2974411836</v>
      </c>
      <c r="N114" s="454">
        <f ca="1">SUM(J114:M114)</f>
        <v>18031374.782481045</v>
      </c>
      <c r="O114" s="421">
        <f ca="1">+OFFSET(O114,$D$113,0)</f>
        <v>46858106.626943484</v>
      </c>
      <c r="P114" s="421">
        <f ca="1">+OFFSET(P114,$D$113,0)</f>
        <v>68838437.210031986</v>
      </c>
      <c r="Q114" s="452">
        <f ca="1">+OFFSET(Q114,$D$113,0)</f>
        <v>69871013.768182486</v>
      </c>
    </row>
    <row r="115" spans="1:22" s="306" customFormat="1" x14ac:dyDescent="0.2">
      <c r="A115" s="299" t="s">
        <v>2264</v>
      </c>
      <c r="E115" s="455">
        <f ca="1">+E118/$I118*$I$115</f>
        <v>25357.138223222475</v>
      </c>
      <c r="F115" s="455">
        <f ca="1">+F118/$I118*$I$115</f>
        <v>125451.1048938375</v>
      </c>
      <c r="G115" s="455">
        <f ca="1">+G118/$I118*$I$115</f>
        <v>611240.48980188917</v>
      </c>
      <c r="H115" s="455">
        <f ca="1">+H118/$I118*$I$115</f>
        <v>2001879.3334123006</v>
      </c>
      <c r="I115" s="455">
        <v>2763928.0663312497</v>
      </c>
      <c r="J115" s="455">
        <f ca="1">+J118/$N118*$N$115</f>
        <v>2406881.4820007444</v>
      </c>
      <c r="K115" s="455">
        <f ca="1">+K118/$N118*$N$115</f>
        <v>3259318.6735426746</v>
      </c>
      <c r="L115" s="455">
        <f ca="1">+L118/$N118*$N$115</f>
        <v>3961325.7724595582</v>
      </c>
      <c r="M115" s="455">
        <f ca="1">+M118/$N118*$N$115</f>
        <v>4663332.8713764427</v>
      </c>
      <c r="N115" s="455">
        <v>14290858.79937942</v>
      </c>
      <c r="O115" s="455">
        <v>28783352.292732727</v>
      </c>
      <c r="P115" s="455">
        <v>39853832.068965897</v>
      </c>
      <c r="Q115" s="455">
        <v>40451639.550000377</v>
      </c>
    </row>
    <row r="116" spans="1:22" s="4" customFormat="1" x14ac:dyDescent="0.2">
      <c r="A116" s="299" t="s">
        <v>2265</v>
      </c>
      <c r="B116" s="306"/>
      <c r="C116" s="306"/>
      <c r="D116" s="306"/>
      <c r="E116" s="455">
        <f ca="1">+E118/$I118*$I$116</f>
        <v>25357.138223222475</v>
      </c>
      <c r="F116" s="455">
        <f ca="1">+F118/$I118*$I$116</f>
        <v>125451.1048938375</v>
      </c>
      <c r="G116" s="455">
        <f ca="1">+G118/$I118*$I$116</f>
        <v>611240.48980188917</v>
      </c>
      <c r="H116" s="455">
        <f ca="1">+H118/$I118*$I$116</f>
        <v>2001879.3334123006</v>
      </c>
      <c r="I116" s="455">
        <v>2763928.0663312497</v>
      </c>
      <c r="J116" s="455">
        <f ca="1">+J118/$N118*$N$116</f>
        <v>3036863.1212599655</v>
      </c>
      <c r="K116" s="455">
        <f ca="1">+K118/$N118*$N$116</f>
        <v>4112418.8100395361</v>
      </c>
      <c r="L116" s="455">
        <f ca="1">+L118/$N118*$N$116</f>
        <v>4998170.5537403589</v>
      </c>
      <c r="M116" s="455">
        <f ca="1">+M118/$N118*$N$116</f>
        <v>5883922.2974411836</v>
      </c>
      <c r="N116" s="455">
        <v>18031374.782481045</v>
      </c>
      <c r="O116" s="455">
        <v>46858106.626943484</v>
      </c>
      <c r="P116" s="455">
        <v>68838437.210031986</v>
      </c>
      <c r="Q116" s="455">
        <v>69871013.768182486</v>
      </c>
    </row>
    <row r="117" spans="1:22" s="306" customFormat="1" x14ac:dyDescent="0.2">
      <c r="A117" s="299" t="s">
        <v>2266</v>
      </c>
      <c r="E117" s="455">
        <f ca="1">+E118/$I118*$I$117</f>
        <v>25357.138223222475</v>
      </c>
      <c r="F117" s="455">
        <f ca="1">+F118/$I118*$I$117</f>
        <v>125451.1048938375</v>
      </c>
      <c r="G117" s="455">
        <f ca="1">+G118/$I118*$I$117</f>
        <v>611240.48980188917</v>
      </c>
      <c r="H117" s="455">
        <f ca="1">+H118/$I118*$I$117</f>
        <v>2001879.3334123006</v>
      </c>
      <c r="I117" s="455">
        <v>2763928.0663312497</v>
      </c>
      <c r="J117" s="455">
        <f ca="1">+J118/$N118*$N$117</f>
        <v>3666844.7605191856</v>
      </c>
      <c r="K117" s="455">
        <f ca="1">+K118/$N118*$N$117</f>
        <v>4965518.9465363976</v>
      </c>
      <c r="L117" s="455">
        <f ca="1">+L118/$N118*$N$117</f>
        <v>6035015.3350211596</v>
      </c>
      <c r="M117" s="455">
        <f ca="1">+M118/$N118*$N$117</f>
        <v>7104511.7235059226</v>
      </c>
      <c r="N117" s="455">
        <v>21771890.765582666</v>
      </c>
      <c r="O117" s="455">
        <v>64932860.96115426</v>
      </c>
      <c r="P117" s="455">
        <v>97823042.351098076</v>
      </c>
      <c r="Q117" s="455">
        <v>99290387.986364558</v>
      </c>
    </row>
    <row r="118" spans="1:22" s="4" customFormat="1" x14ac:dyDescent="0.2">
      <c r="A118" s="4" t="s">
        <v>2262</v>
      </c>
      <c r="E118" s="453">
        <f ca="1">+'Company Rev Model'!E19</f>
        <v>28500</v>
      </c>
      <c r="F118" s="453">
        <f ca="1">+'Company Rev Model'!F19</f>
        <v>141000</v>
      </c>
      <c r="G118" s="453">
        <f ca="1">+'Company Rev Model'!G19</f>
        <v>687000</v>
      </c>
      <c r="H118" s="453">
        <f ca="1">+'Company Rev Model'!H19</f>
        <v>2250000</v>
      </c>
      <c r="I118" s="428">
        <f ca="1">SUM(E118:H118)</f>
        <v>3106500</v>
      </c>
      <c r="J118" s="453">
        <f ca="1">+'Company Rev Model'!J19</f>
        <v>3600000</v>
      </c>
      <c r="K118" s="453">
        <f ca="1">+'Company Rev Model'!K19</f>
        <v>4875000</v>
      </c>
      <c r="L118" s="453">
        <f ca="1">+'Company Rev Model'!L19</f>
        <v>5925000</v>
      </c>
      <c r="M118" s="453">
        <f ca="1">+'Company Rev Model'!M19</f>
        <v>6975000</v>
      </c>
      <c r="N118" s="428">
        <f ca="1">SUM(J118:M118)</f>
        <v>21375000</v>
      </c>
      <c r="O118" s="453">
        <f ca="1">+'Company Rev Model'!O19</f>
        <v>31725000</v>
      </c>
      <c r="P118" s="453">
        <f ca="1">+'Company Rev Model'!P19</f>
        <v>38475000</v>
      </c>
      <c r="Q118" s="453">
        <f ca="1">+'Company Rev Model'!Q19</f>
        <v>48375000</v>
      </c>
    </row>
    <row r="119" spans="1:22" s="289" customFormat="1" hidden="1" outlineLevel="1" x14ac:dyDescent="0.2">
      <c r="A119" s="411" t="s">
        <v>183</v>
      </c>
    </row>
    <row r="120" spans="1:22" s="289" customFormat="1" hidden="1" outlineLevel="1" x14ac:dyDescent="0.2">
      <c r="A120" s="332"/>
    </row>
    <row r="121" spans="1:22" s="289" customFormat="1" hidden="1" outlineLevel="1" x14ac:dyDescent="0.2">
      <c r="A121" s="289" t="s">
        <v>53</v>
      </c>
      <c r="D121" s="412">
        <v>2</v>
      </c>
      <c r="E121" s="413"/>
      <c r="F121" s="413"/>
      <c r="G121" s="413"/>
      <c r="H121" s="413"/>
    </row>
    <row r="122" spans="1:22" s="289" customFormat="1" hidden="1" outlineLevel="1" x14ac:dyDescent="0.2">
      <c r="A122" s="303" t="str">
        <f ca="1">+OFFSET(A122,$D$121,0)</f>
        <v>Base (Company)</v>
      </c>
      <c r="B122" s="304"/>
      <c r="C122" s="304"/>
      <c r="D122" s="304"/>
      <c r="E122" s="415">
        <f ca="1">+OFFSET(E122,$D$121,0)</f>
        <v>17.666666666666668</v>
      </c>
      <c r="F122" s="415">
        <f ca="1">+OFFSET(F122,$D$121,0)</f>
        <v>60</v>
      </c>
      <c r="G122" s="415">
        <f ca="1">+OFFSET(G122,$D$121,0)</f>
        <v>233.33333333333334</v>
      </c>
      <c r="H122" s="415">
        <f ca="1">+OFFSET(H122,$D$121,0)</f>
        <v>800</v>
      </c>
      <c r="I122" s="415">
        <f ca="1">+OFFSET(I122,$D$121,0)</f>
        <v>277.75</v>
      </c>
      <c r="J122" s="415">
        <f t="shared" ref="J122:Q122" ca="1" si="112">+OFFSET(J122,$D$121,0)</f>
        <v>1200</v>
      </c>
      <c r="K122" s="415">
        <f t="shared" ca="1" si="112"/>
        <v>1500</v>
      </c>
      <c r="L122" s="415">
        <f t="shared" ca="1" si="112"/>
        <v>1933.3333333333333</v>
      </c>
      <c r="M122" s="415">
        <f t="shared" ca="1" si="112"/>
        <v>2400</v>
      </c>
      <c r="N122" s="415">
        <f t="shared" ca="1" si="112"/>
        <v>1758.3333333333333</v>
      </c>
      <c r="O122" s="415">
        <f t="shared" ca="1" si="112"/>
        <v>2600</v>
      </c>
      <c r="P122" s="415">
        <f t="shared" ca="1" si="112"/>
        <v>2700</v>
      </c>
      <c r="Q122" s="416">
        <f t="shared" ca="1" si="112"/>
        <v>2800</v>
      </c>
    </row>
    <row r="123" spans="1:22" s="4" customFormat="1" hidden="1" outlineLevel="1" x14ac:dyDescent="0.2">
      <c r="A123" s="299" t="s">
        <v>185</v>
      </c>
      <c r="E123" s="417">
        <f>+$I$123*0.25</f>
        <v>8.2061250000000001</v>
      </c>
      <c r="F123" s="417">
        <f>+$I$123*0.75</f>
        <v>24.618375</v>
      </c>
      <c r="G123" s="417">
        <f>+$I$123*1.25</f>
        <v>41.030625000000001</v>
      </c>
      <c r="H123" s="417">
        <f>+$I$123*1.75</f>
        <v>57.442875000000001</v>
      </c>
      <c r="I123" s="320">
        <f>+SUMPRODUCT('Store Build'!S144:S172,'Store Build'!U144:U172,'Store Build'!F76:F104)</f>
        <v>32.8245</v>
      </c>
      <c r="J123" s="409"/>
      <c r="K123" s="409"/>
      <c r="L123" s="409"/>
      <c r="M123" s="409"/>
      <c r="N123" s="429">
        <f>+SUMPRODUCT('Store Build'!$U$144:$U$172,'Store Build'!$S$144:$S$172,'Store Build'!G76:G104)</f>
        <v>212.45800000000006</v>
      </c>
      <c r="O123" s="429">
        <f>+SUMPRODUCT('Store Build'!$U$144:$U$172,'Store Build'!$S$144:$S$172,'Store Build'!H76:H104)</f>
        <v>545.59400000000005</v>
      </c>
      <c r="P123" s="429">
        <f>+SUMPRODUCT('Store Build'!$U$144:$U$172,'Store Build'!$S$144:$S$172,'Store Build'!I76:I104)</f>
        <v>791.19800000000009</v>
      </c>
      <c r="Q123" s="429">
        <f>+SUMPRODUCT('Store Build'!$U$144:$U$172,'Store Build'!$S$144:$S$172,'Store Build'!J76:J104)</f>
        <v>791.19800000000009</v>
      </c>
      <c r="S123" s="301"/>
      <c r="T123" s="293"/>
      <c r="U123" s="293"/>
      <c r="V123" s="293"/>
    </row>
    <row r="124" spans="1:22" s="4" customFormat="1" hidden="1" outlineLevel="1" x14ac:dyDescent="0.2">
      <c r="A124" s="299" t="s">
        <v>187</v>
      </c>
      <c r="E124" s="417">
        <f>+AVERAGE('Theranos Market Assumptions'!I3:K3)</f>
        <v>17.666666666666668</v>
      </c>
      <c r="F124" s="417">
        <f>+AVERAGE('Theranos Market Assumptions'!L3:N3)</f>
        <v>60</v>
      </c>
      <c r="G124" s="417">
        <f>+AVERAGE('Theranos Market Assumptions'!O3:Q3)</f>
        <v>233.33333333333334</v>
      </c>
      <c r="H124" s="417">
        <f>+AVERAGE('Theranos Market Assumptions'!R3:T3)</f>
        <v>800</v>
      </c>
      <c r="I124" s="417">
        <f>+AVERAGE(E124:H124)</f>
        <v>277.75</v>
      </c>
      <c r="J124" s="417">
        <f>+AVERAGE('Theranos Market Assumptions'!U3:W3)</f>
        <v>1200</v>
      </c>
      <c r="K124" s="417">
        <f>+AVERAGE('Theranos Market Assumptions'!X3:Z3)</f>
        <v>1500</v>
      </c>
      <c r="L124" s="417">
        <f>+AVERAGE('Theranos Market Assumptions'!AA3:AC3)</f>
        <v>1933.3333333333333</v>
      </c>
      <c r="M124" s="417">
        <f>+AVERAGE('Theranos Market Assumptions'!AD3:AF3)</f>
        <v>2400</v>
      </c>
      <c r="N124" s="417">
        <f>+AVERAGE('Theranos Market Assumptions'!U3:AF3)</f>
        <v>1758.3333333333333</v>
      </c>
      <c r="O124" s="302">
        <f>+'Theranos Market Assumptions'!AF3+200</f>
        <v>2600</v>
      </c>
      <c r="P124" s="300">
        <f>+O124+100</f>
        <v>2700</v>
      </c>
      <c r="Q124" s="300">
        <f>+P124+100</f>
        <v>2800</v>
      </c>
    </row>
    <row r="125" spans="1:22" s="4" customFormat="1" hidden="1" outlineLevel="1" x14ac:dyDescent="0.2">
      <c r="A125" s="299" t="s">
        <v>186</v>
      </c>
      <c r="E125" s="418">
        <v>20</v>
      </c>
      <c r="F125" s="418">
        <v>80</v>
      </c>
      <c r="G125" s="418">
        <v>250</v>
      </c>
      <c r="H125" s="418">
        <v>950</v>
      </c>
      <c r="I125" s="417">
        <f>+AVERAGE(E125:H125)</f>
        <v>325</v>
      </c>
      <c r="J125" s="319">
        <f>+J124+100</f>
        <v>1300</v>
      </c>
      <c r="K125" s="319">
        <f>+K124+100</f>
        <v>1600</v>
      </c>
      <c r="L125" s="319">
        <f>+L124+100</f>
        <v>2033.3333333333333</v>
      </c>
      <c r="M125" s="319">
        <f>+M124+100</f>
        <v>2500</v>
      </c>
      <c r="N125" s="320">
        <f>+AVERAGE(J125:M125)</f>
        <v>1858.3333333333333</v>
      </c>
      <c r="O125" s="300">
        <f>+O124+200</f>
        <v>2800</v>
      </c>
      <c r="P125" s="300">
        <f t="shared" ref="P125:Q125" si="113">+P124+200</f>
        <v>2900</v>
      </c>
      <c r="Q125" s="300">
        <f t="shared" si="113"/>
        <v>3000</v>
      </c>
    </row>
    <row r="126" spans="1:22" s="289" customFormat="1" hidden="1" outlineLevel="1" x14ac:dyDescent="0.2"/>
    <row r="127" spans="1:22" s="289" customFormat="1" hidden="1" outlineLevel="1" x14ac:dyDescent="0.2">
      <c r="A127" s="289" t="s">
        <v>55</v>
      </c>
      <c r="D127" s="412">
        <v>2</v>
      </c>
      <c r="E127" s="413"/>
      <c r="F127" s="413"/>
      <c r="G127" s="413"/>
      <c r="H127" s="413"/>
    </row>
    <row r="128" spans="1:22" s="289" customFormat="1" hidden="1" outlineLevel="1" x14ac:dyDescent="0.2">
      <c r="A128" s="303" t="str">
        <f ca="1">+OFFSET(A128,$D$127,0)</f>
        <v>Base (Company)</v>
      </c>
      <c r="B128" s="304"/>
      <c r="C128" s="304"/>
      <c r="D128" s="304"/>
      <c r="E128" s="415">
        <f t="shared" ref="E128:Q128" ca="1" si="114">+OFFSET(E128,$D$127,0)</f>
        <v>0</v>
      </c>
      <c r="F128" s="415">
        <f t="shared" ca="1" si="114"/>
        <v>10</v>
      </c>
      <c r="G128" s="415">
        <f t="shared" ca="1" si="114"/>
        <v>90</v>
      </c>
      <c r="H128" s="415">
        <f t="shared" ca="1" si="114"/>
        <v>200</v>
      </c>
      <c r="I128" s="415">
        <f t="shared" ca="1" si="114"/>
        <v>80.909090909090907</v>
      </c>
      <c r="J128" s="415">
        <f t="shared" ca="1" si="114"/>
        <v>400</v>
      </c>
      <c r="K128" s="415">
        <f t="shared" ca="1" si="114"/>
        <v>666.66666666666663</v>
      </c>
      <c r="L128" s="415">
        <f t="shared" ca="1" si="114"/>
        <v>700</v>
      </c>
      <c r="M128" s="415">
        <f t="shared" ca="1" si="114"/>
        <v>700</v>
      </c>
      <c r="N128" s="415">
        <f t="shared" ca="1" si="114"/>
        <v>616.66666666666663</v>
      </c>
      <c r="O128" s="415">
        <f t="shared" ca="1" si="114"/>
        <v>925</v>
      </c>
      <c r="P128" s="415">
        <f t="shared" ca="1" si="114"/>
        <v>1375</v>
      </c>
      <c r="Q128" s="416">
        <f t="shared" ca="1" si="114"/>
        <v>2175</v>
      </c>
      <c r="S128" s="317"/>
      <c r="T128" s="317"/>
      <c r="U128" s="317"/>
      <c r="V128" s="317"/>
    </row>
    <row r="129" spans="1:30" s="4" customFormat="1" hidden="1" outlineLevel="1" x14ac:dyDescent="0.2">
      <c r="A129" s="299" t="s">
        <v>185</v>
      </c>
      <c r="E129" s="417">
        <f>+$I$129*0.25</f>
        <v>1.42875</v>
      </c>
      <c r="F129" s="417">
        <f>+$I$129*0.75</f>
        <v>4.2862499999999999</v>
      </c>
      <c r="G129" s="417">
        <f>+$I$129*1.25</f>
        <v>7.1437499999999998</v>
      </c>
      <c r="H129" s="417">
        <f>+$I$129*1.75</f>
        <v>10.001249999999999</v>
      </c>
      <c r="I129" s="320">
        <f>+SUMPRODUCT('Store Build'!P144:P172,'Store Build'!Q144:Q172,'Store Build'!F76:F104)</f>
        <v>5.7149999999999999</v>
      </c>
      <c r="J129" s="409"/>
      <c r="K129" s="409"/>
      <c r="L129" s="409"/>
      <c r="M129" s="409"/>
      <c r="N129" s="409">
        <f>+SUMPRODUCT('Store Build'!$P$144:$P$172,'Store Build'!$Q$144:$Q$172,'Store Build'!G76:G104)</f>
        <v>30.855</v>
      </c>
      <c r="O129" s="409">
        <f>+SUMPRODUCT('Store Build'!$P$144:$P$172,'Store Build'!$Q$144:$Q$172,'Store Build'!H76:H104)</f>
        <v>72.495000000000005</v>
      </c>
      <c r="P129" s="409">
        <f>+SUMPRODUCT('Store Build'!$P$144:$P$172,'Store Build'!$Q$144:$Q$172,'Store Build'!I76:I104)</f>
        <v>98.894999999999996</v>
      </c>
      <c r="Q129" s="409">
        <f>+SUMPRODUCT('Store Build'!$P$144:$P$172,'Store Build'!$Q$144:$Q$172,'Store Build'!J76:J104)</f>
        <v>98.894999999999996</v>
      </c>
      <c r="S129" s="301"/>
      <c r="T129" s="293"/>
      <c r="U129" s="293"/>
      <c r="V129" s="293"/>
    </row>
    <row r="130" spans="1:30" s="4" customFormat="1" hidden="1" outlineLevel="1" x14ac:dyDescent="0.2">
      <c r="A130" s="299" t="s">
        <v>187</v>
      </c>
      <c r="E130" s="417">
        <f>+AVERAGE('Theranos Market Assumptions'!I5:K5)</f>
        <v>0</v>
      </c>
      <c r="F130" s="417">
        <f>+AVERAGE('Theranos Market Assumptions'!L5:N5)</f>
        <v>10</v>
      </c>
      <c r="G130" s="417">
        <f>+AVERAGE('Theranos Market Assumptions'!O5:Q5)</f>
        <v>90</v>
      </c>
      <c r="H130" s="417">
        <f>+AVERAGE('Theranos Market Assumptions'!R5:T5)</f>
        <v>200</v>
      </c>
      <c r="I130" s="417">
        <f>+AVERAGE('Theranos Market Assumptions'!I5:T5)</f>
        <v>80.909090909090907</v>
      </c>
      <c r="J130" s="417">
        <f>+AVERAGE('Theranos Market Assumptions'!U5:W5)</f>
        <v>400</v>
      </c>
      <c r="K130" s="417">
        <f>+AVERAGE('Theranos Market Assumptions'!X5:Z5)</f>
        <v>666.66666666666663</v>
      </c>
      <c r="L130" s="417">
        <f>+AVERAGE('Theranos Market Assumptions'!AA5:AC5)</f>
        <v>700</v>
      </c>
      <c r="M130" s="417">
        <f>+AVERAGE('Theranos Market Assumptions'!AD5:AF5)</f>
        <v>700</v>
      </c>
      <c r="N130" s="417">
        <f>+AVERAGE('Theranos Market Assumptions'!U5:AF5)</f>
        <v>616.66666666666663</v>
      </c>
      <c r="O130" s="320">
        <f>'Theranos Market Assumptions'!AF5+SUM(O134:O136)</f>
        <v>925</v>
      </c>
      <c r="P130" s="319">
        <f>O130+SUM(P134:P136)</f>
        <v>1375</v>
      </c>
      <c r="Q130" s="319">
        <f>P130+SUM(Q134:Q136)</f>
        <v>2175</v>
      </c>
      <c r="S130" s="293"/>
      <c r="T130" s="293"/>
      <c r="U130" s="293"/>
      <c r="V130" s="293"/>
    </row>
    <row r="131" spans="1:30" s="4" customFormat="1" hidden="1" outlineLevel="1" x14ac:dyDescent="0.2">
      <c r="A131" s="299" t="s">
        <v>186</v>
      </c>
      <c r="E131" s="418">
        <v>10</v>
      </c>
      <c r="F131" s="418">
        <v>20</v>
      </c>
      <c r="G131" s="418">
        <v>120</v>
      </c>
      <c r="H131" s="418">
        <v>250</v>
      </c>
      <c r="I131" s="417">
        <f>+AVERAGE(E131:H131)</f>
        <v>100</v>
      </c>
      <c r="J131" s="319">
        <v>500</v>
      </c>
      <c r="K131" s="319">
        <v>700</v>
      </c>
      <c r="L131" s="319">
        <v>800</v>
      </c>
      <c r="M131" s="319">
        <v>850</v>
      </c>
      <c r="N131" s="320">
        <f>+AVERAGE(J131:M131)</f>
        <v>712.5</v>
      </c>
      <c r="O131" s="300">
        <f t="shared" ref="O131:Q131" si="115">$R$136*SUM(O134:O136)+N131</f>
        <v>1050</v>
      </c>
      <c r="P131" s="300">
        <f t="shared" si="115"/>
        <v>1725</v>
      </c>
      <c r="Q131" s="300">
        <f t="shared" si="115"/>
        <v>2925</v>
      </c>
      <c r="S131" s="293"/>
      <c r="T131" s="293"/>
      <c r="U131" s="293"/>
      <c r="V131" s="293"/>
    </row>
    <row r="132" spans="1:30" s="306" customFormat="1" hidden="1" outlineLevel="1" x14ac:dyDescent="0.2">
      <c r="A132" s="299"/>
      <c r="I132" s="319"/>
      <c r="J132" s="319"/>
      <c r="K132" s="319"/>
      <c r="L132" s="319"/>
      <c r="M132" s="319"/>
      <c r="N132" s="319"/>
      <c r="O132" s="319"/>
      <c r="P132" s="319"/>
      <c r="Q132" s="319"/>
      <c r="S132" s="299"/>
      <c r="T132" s="299"/>
      <c r="U132" s="299"/>
      <c r="V132" s="299"/>
    </row>
    <row r="133" spans="1:30" s="306" customFormat="1" hidden="1" outlineLevel="1" x14ac:dyDescent="0.2">
      <c r="A133" s="318" t="s">
        <v>2257</v>
      </c>
      <c r="I133" s="319"/>
      <c r="J133" s="319"/>
      <c r="K133" s="319"/>
      <c r="L133" s="319"/>
      <c r="M133" s="319"/>
      <c r="N133" s="319"/>
      <c r="O133" s="319"/>
      <c r="P133" s="319"/>
      <c r="Q133" s="319"/>
      <c r="S133" s="299"/>
      <c r="T133" s="299"/>
      <c r="U133" s="299"/>
      <c r="V133" s="299"/>
    </row>
    <row r="134" spans="1:30" s="4" customFormat="1" hidden="1" outlineLevel="1" x14ac:dyDescent="0.2">
      <c r="A134" s="317" t="s">
        <v>238</v>
      </c>
      <c r="B134" s="306"/>
      <c r="C134" s="306"/>
      <c r="D134" s="306"/>
      <c r="E134" s="306"/>
      <c r="F134" s="306"/>
      <c r="G134" s="306"/>
      <c r="H134" s="306"/>
      <c r="I134" s="319"/>
      <c r="J134" s="319"/>
      <c r="K134" s="319"/>
      <c r="L134" s="319"/>
      <c r="M134" s="319"/>
      <c r="N134" s="320">
        <f>N130-I130</f>
        <v>535.75757575757575</v>
      </c>
      <c r="O134" s="319">
        <v>100</v>
      </c>
      <c r="P134" s="319">
        <v>100</v>
      </c>
      <c r="Q134" s="319">
        <v>100</v>
      </c>
      <c r="R134" s="322">
        <v>0</v>
      </c>
      <c r="S134" s="10" t="s">
        <v>185</v>
      </c>
      <c r="T134" s="293"/>
      <c r="U134" s="293"/>
      <c r="V134" s="293"/>
    </row>
    <row r="135" spans="1:30" s="4" customFormat="1" hidden="1" outlineLevel="1" x14ac:dyDescent="0.2">
      <c r="A135" s="317" t="s">
        <v>239</v>
      </c>
      <c r="B135" s="306"/>
      <c r="C135" s="306"/>
      <c r="D135" s="306"/>
      <c r="E135" s="306"/>
      <c r="F135" s="306"/>
      <c r="G135" s="306"/>
      <c r="H135" s="306"/>
      <c r="I135" s="319"/>
      <c r="J135" s="319"/>
      <c r="K135" s="319"/>
      <c r="L135" s="319"/>
      <c r="M135" s="319"/>
      <c r="N135" s="319"/>
      <c r="O135" s="319">
        <v>100</v>
      </c>
      <c r="P135" s="319">
        <v>300</v>
      </c>
      <c r="Q135" s="319">
        <v>600</v>
      </c>
      <c r="R135" s="321">
        <v>1</v>
      </c>
      <c r="S135" s="10" t="s">
        <v>241</v>
      </c>
      <c r="T135" s="293"/>
      <c r="U135" s="293"/>
      <c r="V135" s="293"/>
    </row>
    <row r="136" spans="1:30" s="4" customFormat="1" hidden="1" outlineLevel="1" x14ac:dyDescent="0.2">
      <c r="A136" s="317" t="s">
        <v>240</v>
      </c>
      <c r="B136" s="306"/>
      <c r="C136" s="306"/>
      <c r="D136" s="306"/>
      <c r="E136" s="306"/>
      <c r="F136" s="306"/>
      <c r="G136" s="306"/>
      <c r="H136" s="306"/>
      <c r="I136" s="319"/>
      <c r="J136" s="319"/>
      <c r="K136" s="319"/>
      <c r="L136" s="319"/>
      <c r="M136" s="319"/>
      <c r="N136" s="319"/>
      <c r="O136" s="319">
        <v>25</v>
      </c>
      <c r="P136" s="319">
        <v>50</v>
      </c>
      <c r="Q136" s="319">
        <v>100</v>
      </c>
      <c r="R136" s="323">
        <v>1.5</v>
      </c>
      <c r="S136" s="10" t="s">
        <v>186</v>
      </c>
      <c r="T136" s="293"/>
      <c r="U136" s="293"/>
      <c r="V136" s="293"/>
    </row>
    <row r="137" spans="1:30" s="289" customFormat="1" hidden="1" outlineLevel="1" x14ac:dyDescent="0.2">
      <c r="S137" s="317"/>
      <c r="T137" s="317"/>
      <c r="U137" s="317"/>
      <c r="V137" s="317"/>
      <c r="W137" s="317"/>
      <c r="X137" s="317"/>
      <c r="Y137" s="317"/>
      <c r="Z137" s="317"/>
      <c r="AA137" s="317"/>
      <c r="AB137" s="317"/>
      <c r="AC137" s="317"/>
      <c r="AD137" s="317"/>
    </row>
    <row r="138" spans="1:30" s="289" customFormat="1" hidden="1" outlineLevel="1" x14ac:dyDescent="0.2">
      <c r="A138" s="289" t="s">
        <v>189</v>
      </c>
      <c r="D138" s="412">
        <v>2</v>
      </c>
      <c r="E138" s="413"/>
      <c r="F138" s="413"/>
      <c r="G138" s="413"/>
      <c r="H138" s="413"/>
      <c r="S138" s="317"/>
      <c r="T138" s="317"/>
      <c r="U138" s="317"/>
      <c r="V138" s="317"/>
      <c r="W138" s="317"/>
      <c r="X138" s="317"/>
      <c r="Y138" s="317"/>
      <c r="Z138" s="414"/>
      <c r="AA138" s="414"/>
      <c r="AB138" s="414"/>
      <c r="AC138" s="317"/>
      <c r="AD138" s="317"/>
    </row>
    <row r="139" spans="1:30" s="289" customFormat="1" hidden="1" outlineLevel="1" x14ac:dyDescent="0.2">
      <c r="A139" s="303" t="str">
        <f ca="1">+OFFSET(A139,$D$138,0)</f>
        <v>Base (Company)</v>
      </c>
      <c r="B139" s="304"/>
      <c r="C139" s="304"/>
      <c r="D139" s="304"/>
      <c r="E139" s="415">
        <f t="shared" ref="E139:Q139" ca="1" si="116">+OFFSET(E139,$D$138,0)</f>
        <v>17.924528301886792</v>
      </c>
      <c r="F139" s="415">
        <f t="shared" ca="1" si="116"/>
        <v>23.888888888888889</v>
      </c>
      <c r="G139" s="415">
        <f t="shared" ca="1" si="116"/>
        <v>24.999999999999996</v>
      </c>
      <c r="H139" s="415">
        <f t="shared" ca="1" si="116"/>
        <v>25</v>
      </c>
      <c r="I139" s="415">
        <f t="shared" ca="1" si="116"/>
        <v>24.827482748274825</v>
      </c>
      <c r="J139" s="415">
        <f t="shared" ca="1" si="116"/>
        <v>25</v>
      </c>
      <c r="K139" s="415">
        <f t="shared" ca="1" si="116"/>
        <v>25</v>
      </c>
      <c r="L139" s="415">
        <f t="shared" ca="1" si="116"/>
        <v>25</v>
      </c>
      <c r="M139" s="415">
        <f t="shared" ca="1" si="116"/>
        <v>25</v>
      </c>
      <c r="N139" s="415">
        <f t="shared" ca="1" si="116"/>
        <v>25</v>
      </c>
      <c r="O139" s="415">
        <f t="shared" ca="1" si="116"/>
        <v>25</v>
      </c>
      <c r="P139" s="415">
        <f t="shared" ca="1" si="116"/>
        <v>25</v>
      </c>
      <c r="Q139" s="416">
        <f t="shared" ca="1" si="116"/>
        <v>25</v>
      </c>
      <c r="S139" s="317"/>
      <c r="T139" s="317"/>
      <c r="U139" s="317"/>
      <c r="V139" s="317"/>
      <c r="W139" s="317"/>
      <c r="X139" s="317"/>
      <c r="Y139" s="317"/>
      <c r="Z139" s="419"/>
      <c r="AA139" s="419"/>
      <c r="AB139" s="419"/>
      <c r="AC139" s="317"/>
      <c r="AD139" s="317"/>
    </row>
    <row r="140" spans="1:30" s="4" customFormat="1" hidden="1" outlineLevel="1" x14ac:dyDescent="0.2">
      <c r="A140" s="299" t="s">
        <v>185</v>
      </c>
      <c r="B140" s="306"/>
      <c r="C140" s="306"/>
      <c r="E140" s="400"/>
      <c r="F140" s="400"/>
      <c r="G140" s="400"/>
      <c r="H140" s="400"/>
      <c r="I140" s="409">
        <f>I141-5</f>
        <v>19.827482748274825</v>
      </c>
      <c r="J140" s="409"/>
      <c r="K140" s="409"/>
      <c r="L140" s="409"/>
      <c r="M140" s="409"/>
      <c r="N140" s="409">
        <f t="shared" ref="N140:Q140" si="117">N141-5</f>
        <v>20</v>
      </c>
      <c r="O140" s="300">
        <f t="shared" si="117"/>
        <v>20</v>
      </c>
      <c r="P140" s="300">
        <f t="shared" si="117"/>
        <v>20</v>
      </c>
      <c r="Q140" s="300">
        <f t="shared" si="117"/>
        <v>20</v>
      </c>
      <c r="S140" s="293"/>
      <c r="T140" s="293"/>
      <c r="U140" s="293"/>
      <c r="V140" s="293"/>
      <c r="W140" s="10"/>
      <c r="X140" s="293"/>
      <c r="Y140" s="293"/>
      <c r="Z140" s="305"/>
      <c r="AA140" s="305"/>
      <c r="AB140" s="305"/>
      <c r="AC140" s="293"/>
      <c r="AD140" s="293"/>
    </row>
    <row r="141" spans="1:30" s="4" customFormat="1" hidden="1" outlineLevel="1" x14ac:dyDescent="0.2">
      <c r="A141" s="299" t="s">
        <v>187</v>
      </c>
      <c r="B141" s="306"/>
      <c r="C141" s="306"/>
      <c r="E141" s="417">
        <f>+AVERAGE('Theranos Market Assumptions'!I10:K10)/E124</f>
        <v>17.924528301886792</v>
      </c>
      <c r="F141" s="417">
        <f>+AVERAGE('Theranos Market Assumptions'!L10:N10)/F124</f>
        <v>23.888888888888889</v>
      </c>
      <c r="G141" s="417">
        <f>+AVERAGE('Theranos Market Assumptions'!O10:Q10)/G124</f>
        <v>24.999999999999996</v>
      </c>
      <c r="H141" s="417">
        <f>+AVERAGE('Theranos Market Assumptions'!R10:T10)/H124</f>
        <v>25</v>
      </c>
      <c r="I141" s="417">
        <f>+'Theranos Market Assumptions'!AG10/'PFM Rev Model-Bottoms Up'!I124</f>
        <v>24.827482748274825</v>
      </c>
      <c r="J141" s="417">
        <f>+AVERAGE('Theranos Market Assumptions'!U7:W7)</f>
        <v>25</v>
      </c>
      <c r="K141" s="417">
        <f>+AVERAGE('Theranos Market Assumptions'!X7:Z7)</f>
        <v>25</v>
      </c>
      <c r="L141" s="417">
        <f>+AVERAGE('Theranos Market Assumptions'!AA7:AC7)</f>
        <v>25</v>
      </c>
      <c r="M141" s="417">
        <f>+AVERAGE('Theranos Market Assumptions'!AD7:AF7)</f>
        <v>25</v>
      </c>
      <c r="N141" s="417">
        <f>+AVERAGE('Theranos Market Assumptions'!U7:AF7)</f>
        <v>25</v>
      </c>
      <c r="O141" s="300">
        <f>+N141</f>
        <v>25</v>
      </c>
      <c r="P141" s="300">
        <f>+O141</f>
        <v>25</v>
      </c>
      <c r="Q141" s="300">
        <f>+P141</f>
        <v>25</v>
      </c>
      <c r="S141" s="293"/>
      <c r="T141" s="293"/>
      <c r="U141" s="293"/>
      <c r="V141" s="293"/>
      <c r="W141" s="10"/>
      <c r="X141" s="293"/>
      <c r="Y141" s="293"/>
      <c r="Z141" s="305"/>
      <c r="AA141" s="305"/>
      <c r="AB141" s="305"/>
      <c r="AC141" s="293"/>
      <c r="AD141" s="293"/>
    </row>
    <row r="142" spans="1:30" s="4" customFormat="1" hidden="1" outlineLevel="1" x14ac:dyDescent="0.2">
      <c r="A142" s="299" t="s">
        <v>186</v>
      </c>
      <c r="B142" s="306"/>
      <c r="C142" s="306"/>
      <c r="E142" s="319">
        <f>E141+5</f>
        <v>22.924528301886792</v>
      </c>
      <c r="F142" s="319">
        <f>F141+5</f>
        <v>28.888888888888889</v>
      </c>
      <c r="G142" s="319">
        <f>G141+5</f>
        <v>29.999999999999996</v>
      </c>
      <c r="H142" s="319">
        <f>H141+5</f>
        <v>30</v>
      </c>
      <c r="I142" s="417">
        <f>+AVERAGE(E142:H142)</f>
        <v>27.95335429769392</v>
      </c>
      <c r="J142" s="319">
        <f t="shared" ref="J142:K142" si="118">J141+5</f>
        <v>30</v>
      </c>
      <c r="K142" s="319">
        <f t="shared" si="118"/>
        <v>30</v>
      </c>
      <c r="L142" s="319">
        <f t="shared" ref="L142:Q142" si="119">L141+5</f>
        <v>30</v>
      </c>
      <c r="M142" s="319">
        <f t="shared" si="119"/>
        <v>30</v>
      </c>
      <c r="N142" s="417">
        <f>+AVERAGE(J142:M142)</f>
        <v>30</v>
      </c>
      <c r="O142" s="300">
        <f t="shared" si="119"/>
        <v>30</v>
      </c>
      <c r="P142" s="300">
        <f t="shared" si="119"/>
        <v>30</v>
      </c>
      <c r="Q142" s="300">
        <f t="shared" si="119"/>
        <v>30</v>
      </c>
      <c r="S142" s="293"/>
      <c r="T142" s="293"/>
      <c r="U142" s="293"/>
      <c r="V142" s="293"/>
      <c r="W142" s="10"/>
      <c r="X142" s="293"/>
      <c r="Y142" s="293"/>
      <c r="Z142" s="10"/>
      <c r="AA142" s="10"/>
      <c r="AB142" s="10"/>
      <c r="AC142" s="293"/>
      <c r="AD142" s="293"/>
    </row>
    <row r="143" spans="1:30" s="289" customFormat="1" hidden="1" outlineLevel="1" x14ac:dyDescent="0.2">
      <c r="S143" s="317"/>
      <c r="T143" s="317"/>
      <c r="U143" s="317"/>
      <c r="V143" s="317"/>
      <c r="W143" s="317"/>
      <c r="X143" s="317"/>
      <c r="Y143" s="317"/>
      <c r="Z143" s="317"/>
      <c r="AA143" s="317"/>
      <c r="AB143" s="317"/>
      <c r="AC143" s="317"/>
      <c r="AD143" s="317"/>
    </row>
    <row r="144" spans="1:30" s="289" customFormat="1" hidden="1" outlineLevel="1" x14ac:dyDescent="0.2">
      <c r="A144" s="289" t="s">
        <v>190</v>
      </c>
      <c r="D144" s="412">
        <v>2</v>
      </c>
      <c r="E144" s="413"/>
      <c r="F144" s="413"/>
      <c r="G144" s="413"/>
      <c r="H144" s="413"/>
      <c r="S144" s="317"/>
      <c r="T144" s="317"/>
      <c r="U144" s="317"/>
      <c r="V144" s="317"/>
      <c r="W144" s="317"/>
      <c r="X144" s="317"/>
      <c r="Y144" s="317"/>
      <c r="Z144" s="317"/>
      <c r="AA144" s="317"/>
      <c r="AB144" s="317"/>
      <c r="AC144" s="317"/>
      <c r="AD144" s="317"/>
    </row>
    <row r="145" spans="1:30" s="289" customFormat="1" hidden="1" outlineLevel="1" x14ac:dyDescent="0.2">
      <c r="A145" s="303" t="str">
        <f ca="1">+OFFSET(A145,$D$144,0)</f>
        <v>Base (Company)</v>
      </c>
      <c r="B145" s="304"/>
      <c r="C145" s="304"/>
      <c r="D145" s="304"/>
      <c r="E145" s="415">
        <f t="shared" ref="E145:Q145" ca="1" si="120">+OFFSET(E145,$D$144,0)</f>
        <v>0</v>
      </c>
      <c r="F145" s="415">
        <f t="shared" ca="1" si="120"/>
        <v>13.333333333333334</v>
      </c>
      <c r="G145" s="415">
        <f t="shared" ca="1" si="120"/>
        <v>20</v>
      </c>
      <c r="H145" s="415">
        <f t="shared" ca="1" si="120"/>
        <v>25</v>
      </c>
      <c r="I145" s="415">
        <f t="shared" ca="1" si="120"/>
        <v>21.423220973782772</v>
      </c>
      <c r="J145" s="415">
        <f t="shared" ca="1" si="120"/>
        <v>25</v>
      </c>
      <c r="K145" s="415">
        <f t="shared" ca="1" si="120"/>
        <v>25</v>
      </c>
      <c r="L145" s="415">
        <f t="shared" ca="1" si="120"/>
        <v>25</v>
      </c>
      <c r="M145" s="415">
        <f t="shared" ca="1" si="120"/>
        <v>25</v>
      </c>
      <c r="N145" s="415">
        <f t="shared" ca="1" si="120"/>
        <v>25</v>
      </c>
      <c r="O145" s="415">
        <f t="shared" ca="1" si="120"/>
        <v>25</v>
      </c>
      <c r="P145" s="415">
        <f t="shared" ca="1" si="120"/>
        <v>25</v>
      </c>
      <c r="Q145" s="416">
        <f t="shared" ca="1" si="120"/>
        <v>25</v>
      </c>
      <c r="S145" s="317"/>
      <c r="T145" s="317"/>
      <c r="U145" s="317"/>
      <c r="V145" s="317"/>
      <c r="W145" s="317"/>
      <c r="X145" s="317"/>
      <c r="Y145" s="317"/>
      <c r="Z145" s="317"/>
      <c r="AA145" s="317"/>
      <c r="AB145" s="317"/>
      <c r="AC145" s="317"/>
      <c r="AD145" s="317"/>
    </row>
    <row r="146" spans="1:30" s="4" customFormat="1" hidden="1" outlineLevel="1" x14ac:dyDescent="0.2">
      <c r="A146" s="299" t="s">
        <v>185</v>
      </c>
      <c r="E146" s="400"/>
      <c r="F146" s="400"/>
      <c r="G146" s="400"/>
      <c r="H146" s="400"/>
      <c r="I146" s="409">
        <f>I147-5</f>
        <v>16.423220973782772</v>
      </c>
      <c r="J146" s="409"/>
      <c r="K146" s="409"/>
      <c r="L146" s="409"/>
      <c r="M146" s="409"/>
      <c r="N146" s="409">
        <f t="shared" ref="N146:Q146" si="121">N147-5</f>
        <v>20</v>
      </c>
      <c r="O146" s="300">
        <f t="shared" si="121"/>
        <v>20</v>
      </c>
      <c r="P146" s="300">
        <f t="shared" si="121"/>
        <v>20</v>
      </c>
      <c r="Q146" s="300">
        <f t="shared" si="121"/>
        <v>20</v>
      </c>
      <c r="S146" s="293"/>
      <c r="T146" s="293"/>
      <c r="U146" s="293"/>
      <c r="V146" s="293"/>
      <c r="W146" s="293"/>
      <c r="X146" s="293"/>
      <c r="Y146" s="293"/>
      <c r="Z146" s="293"/>
      <c r="AA146" s="293"/>
      <c r="AB146" s="293"/>
      <c r="AC146" s="293"/>
      <c r="AD146" s="293"/>
    </row>
    <row r="147" spans="1:30" s="4" customFormat="1" hidden="1" outlineLevel="1" x14ac:dyDescent="0.2">
      <c r="A147" s="299" t="s">
        <v>187</v>
      </c>
      <c r="E147" s="417">
        <v>0</v>
      </c>
      <c r="F147" s="417">
        <f>+AVERAGE('Theranos Market Assumptions'!L12:N12)/F130</f>
        <v>13.333333333333334</v>
      </c>
      <c r="G147" s="417">
        <f>+AVERAGE('Theranos Market Assumptions'!O12:Q12)/G130</f>
        <v>20</v>
      </c>
      <c r="H147" s="417">
        <f>+AVERAGE('Theranos Market Assumptions'!R12:T12)/H130</f>
        <v>25</v>
      </c>
      <c r="I147" s="417">
        <f>+'Theranos Market Assumptions'!AG12/'PFM Rev Model-Bottoms Up'!I130</f>
        <v>21.423220973782772</v>
      </c>
      <c r="J147" s="417">
        <f>+AVERAGE('Theranos Market Assumptions'!U9:W9)</f>
        <v>25</v>
      </c>
      <c r="K147" s="417">
        <f>+AVERAGE('Theranos Market Assumptions'!X9:Z9)</f>
        <v>25</v>
      </c>
      <c r="L147" s="417">
        <f>+AVERAGE('Theranos Market Assumptions'!AA9:AC9)</f>
        <v>25</v>
      </c>
      <c r="M147" s="417">
        <f>+AVERAGE('Theranos Market Assumptions'!AD9:AF9)</f>
        <v>25</v>
      </c>
      <c r="N147" s="417">
        <f>+AVERAGE('Theranos Market Assumptions'!U9:AF9)</f>
        <v>25</v>
      </c>
      <c r="O147" s="300">
        <f>+N147</f>
        <v>25</v>
      </c>
      <c r="P147" s="300">
        <f t="shared" ref="P147:Q147" si="122">+O147</f>
        <v>25</v>
      </c>
      <c r="Q147" s="300">
        <f t="shared" si="122"/>
        <v>25</v>
      </c>
      <c r="S147" s="293"/>
      <c r="T147" s="293"/>
      <c r="U147" s="293"/>
      <c r="V147" s="293"/>
      <c r="W147" s="293"/>
      <c r="X147" s="293"/>
      <c r="Y147" s="293"/>
      <c r="Z147" s="293"/>
      <c r="AA147" s="293"/>
      <c r="AB147" s="293"/>
      <c r="AC147" s="293"/>
      <c r="AD147" s="293"/>
    </row>
    <row r="148" spans="1:30" s="4" customFormat="1" hidden="1" outlineLevel="1" x14ac:dyDescent="0.2">
      <c r="A148" s="299" t="s">
        <v>186</v>
      </c>
      <c r="E148" s="319">
        <v>0</v>
      </c>
      <c r="F148" s="319">
        <f>F147+5</f>
        <v>18.333333333333336</v>
      </c>
      <c r="G148" s="319">
        <f>G147+5</f>
        <v>25</v>
      </c>
      <c r="H148" s="319">
        <f>H147+5</f>
        <v>30</v>
      </c>
      <c r="I148" s="417">
        <f>+AVERAGE(E148:H148)</f>
        <v>18.333333333333336</v>
      </c>
      <c r="J148" s="319">
        <f>+J147+5</f>
        <v>30</v>
      </c>
      <c r="K148" s="319">
        <f t="shared" ref="K148:M148" si="123">+K147+5</f>
        <v>30</v>
      </c>
      <c r="L148" s="319">
        <f t="shared" si="123"/>
        <v>30</v>
      </c>
      <c r="M148" s="319">
        <f t="shared" si="123"/>
        <v>30</v>
      </c>
      <c r="N148" s="320">
        <f>+AVERAGE(J148:M148)</f>
        <v>30</v>
      </c>
      <c r="O148" s="300">
        <f t="shared" ref="O148:Q148" si="124">O147+5</f>
        <v>30</v>
      </c>
      <c r="P148" s="300">
        <f t="shared" si="124"/>
        <v>30</v>
      </c>
      <c r="Q148" s="300">
        <f t="shared" si="124"/>
        <v>30</v>
      </c>
      <c r="W148" s="293"/>
      <c r="X148" s="293"/>
      <c r="Y148" s="293"/>
      <c r="Z148" s="293"/>
      <c r="AA148" s="293"/>
      <c r="AB148" s="293"/>
      <c r="AC148" s="293"/>
      <c r="AD148" s="293"/>
    </row>
    <row r="149" spans="1:30" s="289" customFormat="1" collapsed="1" x14ac:dyDescent="0.2">
      <c r="W149" s="317"/>
      <c r="X149" s="317"/>
      <c r="Y149" s="317"/>
      <c r="Z149" s="317"/>
      <c r="AA149" s="317"/>
      <c r="AB149" s="317"/>
      <c r="AC149" s="317"/>
      <c r="AD149" s="317"/>
    </row>
    <row r="150" spans="1:30" s="289" customFormat="1" x14ac:dyDescent="0.2">
      <c r="A150" s="307" t="s">
        <v>191</v>
      </c>
      <c r="W150" s="317"/>
      <c r="X150" s="317"/>
      <c r="Y150" s="317"/>
      <c r="Z150" s="317"/>
      <c r="AA150" s="317"/>
      <c r="AB150" s="317"/>
      <c r="AC150" s="317"/>
      <c r="AD150" s="317"/>
    </row>
    <row r="151" spans="1:30" s="289" customFormat="1" x14ac:dyDescent="0.2"/>
    <row r="152" spans="1:30" s="289" customFormat="1" x14ac:dyDescent="0.2">
      <c r="A152" s="289" t="s">
        <v>191</v>
      </c>
      <c r="D152" s="412">
        <v>2</v>
      </c>
      <c r="E152" s="413"/>
      <c r="F152" s="413"/>
      <c r="G152" s="413"/>
      <c r="H152" s="413"/>
    </row>
    <row r="153" spans="1:30" s="289" customFormat="1" x14ac:dyDescent="0.2">
      <c r="A153" s="303" t="str">
        <f ca="1">+OFFSET(A153,$D$152,0)</f>
        <v>Base (Company)</v>
      </c>
      <c r="B153" s="304"/>
      <c r="C153" s="304"/>
      <c r="D153" s="304"/>
      <c r="E153" s="415">
        <f t="shared" ref="E153:Q153" ca="1" si="125">+OFFSET(E153,$D$152,0)</f>
        <v>13.333333333333334</v>
      </c>
      <c r="F153" s="415">
        <f t="shared" ca="1" si="125"/>
        <v>120</v>
      </c>
      <c r="G153" s="415">
        <f t="shared" ca="1" si="125"/>
        <v>433.33333333333331</v>
      </c>
      <c r="H153" s="415">
        <f t="shared" ca="1" si="125"/>
        <v>1000</v>
      </c>
      <c r="I153" s="415">
        <f t="shared" ca="1" si="125"/>
        <v>391.66666666666669</v>
      </c>
      <c r="J153" s="415">
        <f t="shared" ca="1" si="125"/>
        <v>1400</v>
      </c>
      <c r="K153" s="415">
        <f t="shared" ca="1" si="125"/>
        <v>1700</v>
      </c>
      <c r="L153" s="415">
        <f t="shared" ca="1" si="125"/>
        <v>2000</v>
      </c>
      <c r="M153" s="415">
        <f t="shared" ca="1" si="125"/>
        <v>2300</v>
      </c>
      <c r="N153" s="415">
        <f t="shared" ca="1" si="125"/>
        <v>1850</v>
      </c>
      <c r="O153" s="415">
        <f t="shared" ca="1" si="125"/>
        <v>3600</v>
      </c>
      <c r="P153" s="415">
        <f t="shared" ca="1" si="125"/>
        <v>4800</v>
      </c>
      <c r="Q153" s="416">
        <f t="shared" ca="1" si="125"/>
        <v>5600</v>
      </c>
    </row>
    <row r="154" spans="1:30" s="4" customFormat="1" x14ac:dyDescent="0.2">
      <c r="A154" s="299" t="s">
        <v>185</v>
      </c>
      <c r="E154" s="418">
        <v>5</v>
      </c>
      <c r="F154" s="418">
        <v>50</v>
      </c>
      <c r="G154" s="418">
        <v>250</v>
      </c>
      <c r="H154" s="418">
        <v>600</v>
      </c>
      <c r="I154" s="417">
        <f>+AVERAGE(E154:H154)</f>
        <v>226.25</v>
      </c>
      <c r="J154" s="319">
        <f>+J155-200</f>
        <v>1200</v>
      </c>
      <c r="K154" s="319">
        <f t="shared" ref="K154:M154" si="126">+K155-200</f>
        <v>1500</v>
      </c>
      <c r="L154" s="319">
        <f t="shared" si="126"/>
        <v>1800</v>
      </c>
      <c r="M154" s="319">
        <f t="shared" si="126"/>
        <v>2100</v>
      </c>
      <c r="N154" s="320">
        <f>+AVERAGE(J154:M154)</f>
        <v>1650</v>
      </c>
      <c r="O154" s="300">
        <f>+O155-1000</f>
        <v>2600</v>
      </c>
      <c r="P154" s="300">
        <f t="shared" ref="P154:Q154" si="127">+P155-1000</f>
        <v>3800</v>
      </c>
      <c r="Q154" s="300">
        <f t="shared" si="127"/>
        <v>4600</v>
      </c>
    </row>
    <row r="155" spans="1:30" s="4" customFormat="1" x14ac:dyDescent="0.2">
      <c r="A155" s="299" t="s">
        <v>187</v>
      </c>
      <c r="E155" s="417">
        <f>+AVERAGE('Theranos Market Assumptions'!I22:K22)</f>
        <v>13.333333333333334</v>
      </c>
      <c r="F155" s="417">
        <f>+AVERAGE('Theranos Market Assumptions'!L22:N22)</f>
        <v>120</v>
      </c>
      <c r="G155" s="417">
        <f>+AVERAGE('Theranos Market Assumptions'!O22:Q22)</f>
        <v>433.33333333333331</v>
      </c>
      <c r="H155" s="417">
        <f>+AVERAGE('Theranos Market Assumptions'!R22:T22)</f>
        <v>1000</v>
      </c>
      <c r="I155" s="417">
        <f>AVERAGE('Theranos Market Assumptions'!I22:T22)</f>
        <v>391.66666666666669</v>
      </c>
      <c r="J155" s="417">
        <f>+AVERAGE('Theranos Market Assumptions'!U22:W22)</f>
        <v>1400</v>
      </c>
      <c r="K155" s="417">
        <f>+AVERAGE('Theranos Market Assumptions'!X22:Z22)</f>
        <v>1700</v>
      </c>
      <c r="L155" s="417">
        <f>+AVERAGE('Theranos Market Assumptions'!AA22:AC22)</f>
        <v>2000</v>
      </c>
      <c r="M155" s="417">
        <f>+AVERAGE('Theranos Market Assumptions'!AD22:AF22)</f>
        <v>2300</v>
      </c>
      <c r="N155" s="417">
        <f>AVERAGE('Theranos Market Assumptions'!U22:AF22)</f>
        <v>1850</v>
      </c>
      <c r="O155" s="302">
        <f>'Theranos Market Assumptions'!AF22+1200</f>
        <v>3600</v>
      </c>
      <c r="P155" s="300">
        <f>O155+1200</f>
        <v>4800</v>
      </c>
      <c r="Q155" s="300">
        <f>P155+800</f>
        <v>5600</v>
      </c>
    </row>
    <row r="156" spans="1:30" s="4" customFormat="1" x14ac:dyDescent="0.2">
      <c r="A156" s="299" t="s">
        <v>186</v>
      </c>
      <c r="E156" s="418">
        <v>25</v>
      </c>
      <c r="F156" s="418">
        <v>150</v>
      </c>
      <c r="G156" s="418">
        <v>500</v>
      </c>
      <c r="H156" s="418">
        <v>1250</v>
      </c>
      <c r="I156" s="417">
        <f>+AVERAGE(E156:H156)</f>
        <v>481.25</v>
      </c>
      <c r="J156" s="319">
        <f>+J155+200</f>
        <v>1600</v>
      </c>
      <c r="K156" s="319">
        <f t="shared" ref="K156:M156" si="128">+K155+200</f>
        <v>1900</v>
      </c>
      <c r="L156" s="319">
        <f t="shared" si="128"/>
        <v>2200</v>
      </c>
      <c r="M156" s="319">
        <f t="shared" si="128"/>
        <v>2500</v>
      </c>
      <c r="N156" s="320">
        <f>+AVERAGE(J156:M156)</f>
        <v>2050</v>
      </c>
      <c r="O156" s="300">
        <f>+O155+500</f>
        <v>4100</v>
      </c>
      <c r="P156" s="300">
        <f t="shared" ref="P156:Q156" si="129">+P155+500</f>
        <v>5300</v>
      </c>
      <c r="Q156" s="300">
        <f t="shared" si="129"/>
        <v>6100</v>
      </c>
    </row>
    <row r="157" spans="1:30" s="289" customFormat="1" x14ac:dyDescent="0.2"/>
    <row r="158" spans="1:30" s="289" customFormat="1" x14ac:dyDescent="0.2">
      <c r="A158" s="289" t="s">
        <v>197</v>
      </c>
      <c r="D158" s="412">
        <v>2</v>
      </c>
      <c r="E158" s="413"/>
      <c r="F158" s="413"/>
      <c r="G158" s="413"/>
      <c r="H158" s="413"/>
    </row>
    <row r="159" spans="1:30" s="289" customFormat="1" x14ac:dyDescent="0.2">
      <c r="A159" s="303" t="str">
        <f ca="1">+OFFSET(A159,$D$158,0)</f>
        <v>Base (Company)</v>
      </c>
      <c r="B159" s="304"/>
      <c r="C159" s="304"/>
      <c r="D159" s="304"/>
      <c r="E159" s="304">
        <f t="shared" ref="E159:Q159" ca="1" si="130">+OFFSET(E159,$D$158,0)</f>
        <v>20</v>
      </c>
      <c r="F159" s="304">
        <f t="shared" ca="1" si="130"/>
        <v>20</v>
      </c>
      <c r="G159" s="304">
        <f t="shared" ca="1" si="130"/>
        <v>20</v>
      </c>
      <c r="H159" s="304">
        <f t="shared" ca="1" si="130"/>
        <v>20</v>
      </c>
      <c r="I159" s="304">
        <f t="shared" ca="1" si="130"/>
        <v>20</v>
      </c>
      <c r="J159" s="304">
        <f t="shared" ca="1" si="130"/>
        <v>20</v>
      </c>
      <c r="K159" s="304">
        <f t="shared" ca="1" si="130"/>
        <v>20</v>
      </c>
      <c r="L159" s="304">
        <f t="shared" ca="1" si="130"/>
        <v>20</v>
      </c>
      <c r="M159" s="304">
        <f t="shared" ca="1" si="130"/>
        <v>20</v>
      </c>
      <c r="N159" s="304">
        <f t="shared" ca="1" si="130"/>
        <v>20</v>
      </c>
      <c r="O159" s="304">
        <f t="shared" ca="1" si="130"/>
        <v>20</v>
      </c>
      <c r="P159" s="304">
        <f t="shared" ca="1" si="130"/>
        <v>20</v>
      </c>
      <c r="Q159" s="420">
        <f t="shared" ca="1" si="130"/>
        <v>20</v>
      </c>
    </row>
    <row r="160" spans="1:30" s="4" customFormat="1" x14ac:dyDescent="0.2">
      <c r="A160" s="299" t="s">
        <v>185</v>
      </c>
      <c r="E160" s="418">
        <f>+E161-5</f>
        <v>15</v>
      </c>
      <c r="F160" s="418">
        <f>+F161-5</f>
        <v>15</v>
      </c>
      <c r="G160" s="418">
        <f>+G161-5</f>
        <v>15</v>
      </c>
      <c r="H160" s="418">
        <f>+H161-5</f>
        <v>15</v>
      </c>
      <c r="I160" s="417">
        <f>+AVERAGE(E160:H160)</f>
        <v>15</v>
      </c>
      <c r="J160" s="418">
        <f t="shared" ref="J160:Q160" si="131">+J161-5</f>
        <v>15</v>
      </c>
      <c r="K160" s="418">
        <f t="shared" si="131"/>
        <v>15</v>
      </c>
      <c r="L160" s="418">
        <f t="shared" si="131"/>
        <v>15</v>
      </c>
      <c r="M160" s="418">
        <f t="shared" si="131"/>
        <v>15</v>
      </c>
      <c r="N160" s="417">
        <f>+AVERAGE(J160:M160)</f>
        <v>15</v>
      </c>
      <c r="O160" s="308">
        <f t="shared" si="131"/>
        <v>15</v>
      </c>
      <c r="P160" s="308">
        <f t="shared" si="131"/>
        <v>15</v>
      </c>
      <c r="Q160" s="308">
        <f t="shared" si="131"/>
        <v>15</v>
      </c>
    </row>
    <row r="161" spans="1:17" s="4" customFormat="1" x14ac:dyDescent="0.2">
      <c r="A161" s="299" t="s">
        <v>187</v>
      </c>
      <c r="E161" s="306">
        <v>20</v>
      </c>
      <c r="F161" s="306">
        <v>20</v>
      </c>
      <c r="G161" s="306">
        <v>20</v>
      </c>
      <c r="H161" s="306">
        <v>20</v>
      </c>
      <c r="I161" s="306">
        <v>20</v>
      </c>
      <c r="J161" s="306">
        <v>20</v>
      </c>
      <c r="K161" s="306">
        <v>20</v>
      </c>
      <c r="L161" s="306">
        <v>20</v>
      </c>
      <c r="M161" s="306">
        <v>20</v>
      </c>
      <c r="N161" s="306">
        <v>20</v>
      </c>
      <c r="O161" s="4">
        <v>20</v>
      </c>
      <c r="P161" s="4">
        <v>20</v>
      </c>
      <c r="Q161" s="4">
        <v>20</v>
      </c>
    </row>
    <row r="162" spans="1:17" s="4" customFormat="1" x14ac:dyDescent="0.2">
      <c r="A162" s="299" t="s">
        <v>186</v>
      </c>
      <c r="E162" s="418">
        <f>E161+5</f>
        <v>25</v>
      </c>
      <c r="F162" s="418">
        <f>F161+5</f>
        <v>25</v>
      </c>
      <c r="G162" s="418">
        <f>G161+5</f>
        <v>25</v>
      </c>
      <c r="H162" s="418">
        <f>H161+5</f>
        <v>25</v>
      </c>
      <c r="I162" s="417">
        <f>+AVERAGE(E162:H162)</f>
        <v>25</v>
      </c>
      <c r="J162" s="418">
        <f>J161+5</f>
        <v>25</v>
      </c>
      <c r="K162" s="418">
        <f>K161+5</f>
        <v>25</v>
      </c>
      <c r="L162" s="418">
        <f>L161+5</f>
        <v>25</v>
      </c>
      <c r="M162" s="418">
        <f>M161+5</f>
        <v>25</v>
      </c>
      <c r="N162" s="417">
        <f>+AVERAGE(J162:M162)</f>
        <v>25</v>
      </c>
      <c r="O162" s="308">
        <f t="shared" ref="O162:Q162" si="132">O161+5</f>
        <v>25</v>
      </c>
      <c r="P162" s="308">
        <f t="shared" si="132"/>
        <v>25</v>
      </c>
      <c r="Q162" s="308">
        <f t="shared" si="132"/>
        <v>25</v>
      </c>
    </row>
    <row r="163" spans="1:17" s="289" customFormat="1" x14ac:dyDescent="0.2"/>
    <row r="164" spans="1:17" s="289" customFormat="1" x14ac:dyDescent="0.2">
      <c r="A164" s="307" t="s">
        <v>195</v>
      </c>
    </row>
    <row r="165" spans="1:17" s="289" customFormat="1" x14ac:dyDescent="0.2"/>
    <row r="166" spans="1:17" s="289" customFormat="1" x14ac:dyDescent="0.2">
      <c r="A166" s="289" t="s">
        <v>199</v>
      </c>
      <c r="D166" s="412">
        <v>2</v>
      </c>
      <c r="E166" s="413"/>
      <c r="F166" s="413"/>
      <c r="G166" s="413"/>
      <c r="H166" s="413"/>
    </row>
    <row r="167" spans="1:17" s="289" customFormat="1" x14ac:dyDescent="0.2">
      <c r="A167" s="303" t="str">
        <f ca="1">+OFFSET(A167,$D$166,0)</f>
        <v>Base (Company)</v>
      </c>
      <c r="B167" s="304"/>
      <c r="C167" s="304"/>
      <c r="D167" s="304"/>
      <c r="E167" s="415">
        <f t="shared" ref="E167:Q167" ca="1" si="133">+OFFSET(E167,$D$166,0)</f>
        <v>0</v>
      </c>
      <c r="F167" s="415">
        <f t="shared" ca="1" si="133"/>
        <v>26.666666666666668</v>
      </c>
      <c r="G167" s="415">
        <f t="shared" ca="1" si="133"/>
        <v>90</v>
      </c>
      <c r="H167" s="415">
        <f t="shared" ca="1" si="133"/>
        <v>150</v>
      </c>
      <c r="I167" s="415">
        <f t="shared" ca="1" si="133"/>
        <v>66.666666666666671</v>
      </c>
      <c r="J167" s="304">
        <f t="shared" ca="1" si="133"/>
        <v>210</v>
      </c>
      <c r="K167" s="304">
        <f t="shared" ca="1" si="133"/>
        <v>270</v>
      </c>
      <c r="L167" s="304">
        <f t="shared" ca="1" si="133"/>
        <v>330</v>
      </c>
      <c r="M167" s="304">
        <f t="shared" ca="1" si="133"/>
        <v>390</v>
      </c>
      <c r="N167" s="304">
        <f t="shared" ca="1" si="133"/>
        <v>300</v>
      </c>
      <c r="O167" s="304">
        <f t="shared" ca="1" si="133"/>
        <v>460</v>
      </c>
      <c r="P167" s="304">
        <f t="shared" ca="1" si="133"/>
        <v>510</v>
      </c>
      <c r="Q167" s="420">
        <f t="shared" ca="1" si="133"/>
        <v>560</v>
      </c>
    </row>
    <row r="168" spans="1:17" s="4" customFormat="1" x14ac:dyDescent="0.2">
      <c r="A168" s="299" t="s">
        <v>185</v>
      </c>
      <c r="E168" s="319">
        <v>0</v>
      </c>
      <c r="F168" s="319">
        <v>10</v>
      </c>
      <c r="G168" s="319">
        <f>+G169-25</f>
        <v>65</v>
      </c>
      <c r="H168" s="319">
        <f>+H169-25</f>
        <v>125</v>
      </c>
      <c r="I168" s="320">
        <f>+AVERAGE(E168:H168)</f>
        <v>50</v>
      </c>
      <c r="J168" s="319">
        <f>+J169-50</f>
        <v>160</v>
      </c>
      <c r="K168" s="319">
        <f t="shared" ref="K168:M168" si="134">+K169-50</f>
        <v>220</v>
      </c>
      <c r="L168" s="319">
        <f t="shared" si="134"/>
        <v>280</v>
      </c>
      <c r="M168" s="319">
        <f t="shared" si="134"/>
        <v>340</v>
      </c>
      <c r="N168" s="417">
        <f>+AVERAGE(J168:M168)</f>
        <v>250</v>
      </c>
      <c r="O168" s="308">
        <f>+O169-100</f>
        <v>360</v>
      </c>
      <c r="P168" s="308">
        <f t="shared" ref="P168:Q168" si="135">+P169-100</f>
        <v>410</v>
      </c>
      <c r="Q168" s="308">
        <f t="shared" si="135"/>
        <v>460</v>
      </c>
    </row>
    <row r="169" spans="1:17" s="4" customFormat="1" x14ac:dyDescent="0.2">
      <c r="A169" s="299" t="s">
        <v>187</v>
      </c>
      <c r="E169" s="417">
        <f>+AVERAGE('Theranos Market Assumptions'!I26:K26)</f>
        <v>0</v>
      </c>
      <c r="F169" s="417">
        <f>+AVERAGE('Theranos Market Assumptions'!L26:N26)</f>
        <v>26.666666666666668</v>
      </c>
      <c r="G169" s="417">
        <f>+AVERAGE('Theranos Market Assumptions'!O26:Q26)</f>
        <v>90</v>
      </c>
      <c r="H169" s="417">
        <f>+AVERAGE('Theranos Market Assumptions'!R26:T26)</f>
        <v>150</v>
      </c>
      <c r="I169" s="417">
        <f>AVERAGE('Theranos Market Assumptions'!I26:T26)</f>
        <v>66.666666666666671</v>
      </c>
      <c r="J169" s="417">
        <f>+AVERAGE('Theranos Market Assumptions'!U26:W26)</f>
        <v>210</v>
      </c>
      <c r="K169" s="417">
        <f>+AVERAGE('Theranos Market Assumptions'!X26:Z26)</f>
        <v>270</v>
      </c>
      <c r="L169" s="417">
        <f>+AVERAGE('Theranos Market Assumptions'!AA26:AC26)</f>
        <v>330</v>
      </c>
      <c r="M169" s="417">
        <f>+AVERAGE('Theranos Market Assumptions'!AD26:AF26)</f>
        <v>390</v>
      </c>
      <c r="N169" s="306">
        <f>AVERAGE('Theranos Market Assumptions'!U26:AF26)</f>
        <v>300</v>
      </c>
      <c r="O169" s="309">
        <f>'Theranos Market Assumptions'!AF26+50</f>
        <v>460</v>
      </c>
      <c r="P169" s="309">
        <f>O169+50</f>
        <v>510</v>
      </c>
      <c r="Q169" s="309">
        <f>P169+50</f>
        <v>560</v>
      </c>
    </row>
    <row r="170" spans="1:17" s="4" customFormat="1" x14ac:dyDescent="0.2">
      <c r="A170" s="299" t="s">
        <v>186</v>
      </c>
      <c r="E170" s="320">
        <f>+E169+25</f>
        <v>25</v>
      </c>
      <c r="F170" s="320">
        <f>+F169+25</f>
        <v>51.666666666666671</v>
      </c>
      <c r="G170" s="320">
        <f>+G169+25</f>
        <v>115</v>
      </c>
      <c r="H170" s="320">
        <f>+H169+25</f>
        <v>175</v>
      </c>
      <c r="I170" s="320">
        <f>+AVERAGE(E170:H170)</f>
        <v>91.666666666666671</v>
      </c>
      <c r="J170" s="319">
        <f>+J169+50</f>
        <v>260</v>
      </c>
      <c r="K170" s="319">
        <f t="shared" ref="K170:M170" si="136">+K169+50</f>
        <v>320</v>
      </c>
      <c r="L170" s="319">
        <f t="shared" si="136"/>
        <v>380</v>
      </c>
      <c r="M170" s="319">
        <f t="shared" si="136"/>
        <v>440</v>
      </c>
      <c r="N170" s="417">
        <f>+AVERAGE(J170:M170)</f>
        <v>350</v>
      </c>
      <c r="O170" s="308">
        <f>+O169+100</f>
        <v>560</v>
      </c>
      <c r="P170" s="308">
        <f t="shared" ref="P170:Q170" si="137">+P169+100</f>
        <v>610</v>
      </c>
      <c r="Q170" s="308">
        <f t="shared" si="137"/>
        <v>660</v>
      </c>
    </row>
    <row r="171" spans="1:17" s="289" customFormat="1" x14ac:dyDescent="0.2"/>
    <row r="172" spans="1:17" s="289" customFormat="1" x14ac:dyDescent="0.2">
      <c r="A172" s="289" t="s">
        <v>197</v>
      </c>
      <c r="D172" s="412">
        <v>2</v>
      </c>
      <c r="E172" s="413"/>
      <c r="F172" s="413"/>
      <c r="G172" s="413"/>
      <c r="H172" s="413"/>
    </row>
    <row r="173" spans="1:17" s="289" customFormat="1" x14ac:dyDescent="0.2">
      <c r="A173" s="303" t="str">
        <f ca="1">+OFFSET(A173,$D$172,0)</f>
        <v>Base (Company)</v>
      </c>
      <c r="B173" s="304"/>
      <c r="C173" s="304"/>
      <c r="D173" s="304"/>
      <c r="E173" s="304">
        <f t="shared" ref="E173:Q173" ca="1" si="138">+OFFSET(E173,$D$172,0)</f>
        <v>50</v>
      </c>
      <c r="F173" s="304">
        <f t="shared" ca="1" si="138"/>
        <v>50</v>
      </c>
      <c r="G173" s="304">
        <f t="shared" ca="1" si="138"/>
        <v>50</v>
      </c>
      <c r="H173" s="304">
        <f t="shared" ca="1" si="138"/>
        <v>50</v>
      </c>
      <c r="I173" s="304">
        <f t="shared" ca="1" si="138"/>
        <v>50</v>
      </c>
      <c r="J173" s="304">
        <f t="shared" ca="1" si="138"/>
        <v>50</v>
      </c>
      <c r="K173" s="304">
        <f t="shared" ca="1" si="138"/>
        <v>50</v>
      </c>
      <c r="L173" s="304">
        <f t="shared" ca="1" si="138"/>
        <v>50</v>
      </c>
      <c r="M173" s="304">
        <f t="shared" ca="1" si="138"/>
        <v>50</v>
      </c>
      <c r="N173" s="304">
        <f t="shared" ca="1" si="138"/>
        <v>50</v>
      </c>
      <c r="O173" s="304">
        <f t="shared" ca="1" si="138"/>
        <v>50</v>
      </c>
      <c r="P173" s="304">
        <f t="shared" ca="1" si="138"/>
        <v>50</v>
      </c>
      <c r="Q173" s="420">
        <f t="shared" ca="1" si="138"/>
        <v>50</v>
      </c>
    </row>
    <row r="174" spans="1:17" s="4" customFormat="1" x14ac:dyDescent="0.2">
      <c r="A174" s="299" t="s">
        <v>185</v>
      </c>
      <c r="E174" s="418">
        <f>+E175-10</f>
        <v>40</v>
      </c>
      <c r="F174" s="418">
        <f t="shared" ref="F174:H174" si="139">+F175-10</f>
        <v>40</v>
      </c>
      <c r="G174" s="418">
        <f t="shared" si="139"/>
        <v>40</v>
      </c>
      <c r="H174" s="418">
        <f t="shared" si="139"/>
        <v>40</v>
      </c>
      <c r="I174" s="417">
        <f>+AVERAGE(E174:H174)</f>
        <v>40</v>
      </c>
      <c r="J174" s="418">
        <f>+J175-10</f>
        <v>40</v>
      </c>
      <c r="K174" s="418">
        <f t="shared" ref="K174" si="140">+K175-10</f>
        <v>40</v>
      </c>
      <c r="L174" s="418">
        <f t="shared" ref="L174" si="141">+L175-10</f>
        <v>40</v>
      </c>
      <c r="M174" s="418">
        <f t="shared" ref="M174" si="142">+M175-10</f>
        <v>40</v>
      </c>
      <c r="N174" s="417">
        <f>+AVERAGE(J174:M174)</f>
        <v>40</v>
      </c>
      <c r="O174" s="308">
        <f t="shared" ref="O174:Q174" si="143">O175-10</f>
        <v>40</v>
      </c>
      <c r="P174" s="308">
        <f t="shared" si="143"/>
        <v>40</v>
      </c>
      <c r="Q174" s="308">
        <f t="shared" si="143"/>
        <v>40</v>
      </c>
    </row>
    <row r="175" spans="1:17" s="4" customFormat="1" x14ac:dyDescent="0.2">
      <c r="A175" s="299" t="s">
        <v>187</v>
      </c>
      <c r="E175" s="306">
        <v>50</v>
      </c>
      <c r="F175" s="306">
        <v>50</v>
      </c>
      <c r="G175" s="306">
        <v>50</v>
      </c>
      <c r="H175" s="306">
        <v>50</v>
      </c>
      <c r="I175" s="306">
        <v>50</v>
      </c>
      <c r="J175" s="306">
        <v>50</v>
      </c>
      <c r="K175" s="306">
        <v>50</v>
      </c>
      <c r="L175" s="306">
        <v>50</v>
      </c>
      <c r="M175" s="306">
        <v>50</v>
      </c>
      <c r="N175" s="306">
        <v>50</v>
      </c>
      <c r="O175" s="4">
        <v>50</v>
      </c>
      <c r="P175" s="4">
        <v>50</v>
      </c>
      <c r="Q175" s="4">
        <v>50</v>
      </c>
    </row>
    <row r="176" spans="1:17" s="4" customFormat="1" x14ac:dyDescent="0.2">
      <c r="A176" s="299" t="s">
        <v>186</v>
      </c>
      <c r="E176" s="418">
        <f>E175+10</f>
        <v>60</v>
      </c>
      <c r="F176" s="418">
        <f>F175+10</f>
        <v>60</v>
      </c>
      <c r="G176" s="418">
        <f>G175+10</f>
        <v>60</v>
      </c>
      <c r="H176" s="418">
        <f>H175+10</f>
        <v>60</v>
      </c>
      <c r="I176" s="417">
        <f>+AVERAGE(E176:H176)</f>
        <v>60</v>
      </c>
      <c r="J176" s="418">
        <f>J175+10</f>
        <v>60</v>
      </c>
      <c r="K176" s="418">
        <f>K175+10</f>
        <v>60</v>
      </c>
      <c r="L176" s="418">
        <f>L175+10</f>
        <v>60</v>
      </c>
      <c r="M176" s="418">
        <f>M175+10</f>
        <v>60</v>
      </c>
      <c r="N176" s="417">
        <f>+AVERAGE(J176:M176)</f>
        <v>60</v>
      </c>
      <c r="O176" s="308">
        <f t="shared" ref="O176:Q176" si="144">O175+10</f>
        <v>60</v>
      </c>
      <c r="P176" s="308">
        <f t="shared" si="144"/>
        <v>60</v>
      </c>
      <c r="Q176" s="308">
        <f t="shared" si="144"/>
        <v>60</v>
      </c>
    </row>
    <row r="177" spans="1:17" s="289" customFormat="1" x14ac:dyDescent="0.2"/>
    <row r="178" spans="1:17" s="289" customFormat="1" x14ac:dyDescent="0.2">
      <c r="A178" s="307" t="s">
        <v>198</v>
      </c>
    </row>
    <row r="179" spans="1:17" s="289" customFormat="1" x14ac:dyDescent="0.2"/>
    <row r="180" spans="1:17" s="289" customFormat="1" x14ac:dyDescent="0.2">
      <c r="A180" s="289" t="s">
        <v>199</v>
      </c>
      <c r="D180" s="412">
        <v>2</v>
      </c>
      <c r="E180" s="413"/>
      <c r="F180" s="413"/>
      <c r="G180" s="413"/>
      <c r="H180" s="413"/>
    </row>
    <row r="181" spans="1:17" s="289" customFormat="1" x14ac:dyDescent="0.2">
      <c r="A181" s="303" t="str">
        <f ca="1">+OFFSET(A181,$D$180,0)</f>
        <v>Base (Company)</v>
      </c>
      <c r="B181" s="304"/>
      <c r="C181" s="304"/>
      <c r="D181" s="304"/>
      <c r="E181" s="421">
        <f t="shared" ref="E181:Q181" ca="1" si="145">+OFFSET(E181,$D$180,0)</f>
        <v>0</v>
      </c>
      <c r="F181" s="421">
        <f t="shared" ca="1" si="145"/>
        <v>0</v>
      </c>
      <c r="G181" s="421">
        <f t="shared" ca="1" si="145"/>
        <v>0</v>
      </c>
      <c r="H181" s="421">
        <f t="shared" ca="1" si="145"/>
        <v>0</v>
      </c>
      <c r="I181" s="421">
        <f t="shared" ca="1" si="145"/>
        <v>0</v>
      </c>
      <c r="J181" s="421">
        <f t="shared" ca="1" si="145"/>
        <v>0</v>
      </c>
      <c r="K181" s="421">
        <f t="shared" ca="1" si="145"/>
        <v>26.666666666666668</v>
      </c>
      <c r="L181" s="421">
        <f t="shared" ca="1" si="145"/>
        <v>90</v>
      </c>
      <c r="M181" s="421">
        <f t="shared" ca="1" si="145"/>
        <v>150</v>
      </c>
      <c r="N181" s="421">
        <f t="shared" ca="1" si="145"/>
        <v>66.666666666666671</v>
      </c>
      <c r="O181" s="421">
        <f t="shared" ca="1" si="145"/>
        <v>200</v>
      </c>
      <c r="P181" s="421">
        <f t="shared" ca="1" si="145"/>
        <v>230</v>
      </c>
      <c r="Q181" s="422">
        <f t="shared" ca="1" si="145"/>
        <v>260</v>
      </c>
    </row>
    <row r="182" spans="1:17" s="4" customFormat="1" x14ac:dyDescent="0.2">
      <c r="A182" s="299" t="s">
        <v>185</v>
      </c>
      <c r="E182" s="319">
        <v>0</v>
      </c>
      <c r="F182" s="418">
        <v>0</v>
      </c>
      <c r="G182" s="418">
        <v>0</v>
      </c>
      <c r="H182" s="418">
        <v>0</v>
      </c>
      <c r="I182" s="417">
        <f>+AVERAGE(E182:H182)</f>
        <v>0</v>
      </c>
      <c r="J182" s="417">
        <v>15</v>
      </c>
      <c r="K182" s="417">
        <v>20</v>
      </c>
      <c r="L182" s="417">
        <v>50</v>
      </c>
      <c r="M182" s="417">
        <v>100</v>
      </c>
      <c r="N182" s="417">
        <f>+AVERAGE(J182:M182)</f>
        <v>46.25</v>
      </c>
      <c r="O182" s="311">
        <f>+O183-100</f>
        <v>100</v>
      </c>
      <c r="P182" s="311">
        <f t="shared" ref="P182:Q182" si="146">+P183-100</f>
        <v>130</v>
      </c>
      <c r="Q182" s="311">
        <f t="shared" si="146"/>
        <v>160</v>
      </c>
    </row>
    <row r="183" spans="1:17" s="306" customFormat="1" x14ac:dyDescent="0.2">
      <c r="A183" s="299" t="s">
        <v>187</v>
      </c>
      <c r="E183" s="417">
        <f>+AVERAGE('Theranos Market Assumptions'!I30:K30)</f>
        <v>0</v>
      </c>
      <c r="F183" s="417">
        <f>+AVERAGE('Theranos Market Assumptions'!L30:N30)</f>
        <v>0</v>
      </c>
      <c r="G183" s="417">
        <f>+AVERAGE('Theranos Market Assumptions'!O30:Q30)</f>
        <v>0</v>
      </c>
      <c r="H183" s="417">
        <f>+AVERAGE('Theranos Market Assumptions'!R30:T30)</f>
        <v>0</v>
      </c>
      <c r="I183" s="428">
        <f>AVERAGE('Theranos Market Assumptions'!I30:T30)</f>
        <v>0</v>
      </c>
      <c r="J183" s="417">
        <f>+AVERAGE('Theranos Market Assumptions'!U30:W30)</f>
        <v>0</v>
      </c>
      <c r="K183" s="417">
        <f>+AVERAGE('Theranos Market Assumptions'!X30:Z30)</f>
        <v>26.666666666666668</v>
      </c>
      <c r="L183" s="417">
        <f>+AVERAGE('Theranos Market Assumptions'!AA30:AC30)</f>
        <v>90</v>
      </c>
      <c r="M183" s="417">
        <f>+AVERAGE('Theranos Market Assumptions'!AD30:AF30)</f>
        <v>150</v>
      </c>
      <c r="N183" s="428">
        <f>AVERAGE('Theranos Market Assumptions'!U30:AF30)</f>
        <v>66.666666666666671</v>
      </c>
      <c r="O183" s="428">
        <f>'Theranos Market Assumptions'!AF30+30</f>
        <v>200</v>
      </c>
      <c r="P183" s="428">
        <f>O183+30</f>
        <v>230</v>
      </c>
      <c r="Q183" s="428">
        <f>P183+30</f>
        <v>260</v>
      </c>
    </row>
    <row r="184" spans="1:17" s="4" customFormat="1" x14ac:dyDescent="0.2">
      <c r="A184" s="299" t="s">
        <v>186</v>
      </c>
      <c r="E184" s="319">
        <f>+E183+5</f>
        <v>5</v>
      </c>
      <c r="F184" s="418">
        <v>5</v>
      </c>
      <c r="G184" s="418">
        <v>10</v>
      </c>
      <c r="H184" s="418">
        <v>10</v>
      </c>
      <c r="I184" s="417">
        <f>+AVERAGE(E184:H184)</f>
        <v>7.5</v>
      </c>
      <c r="J184" s="319">
        <v>20</v>
      </c>
      <c r="K184" s="319">
        <v>40</v>
      </c>
      <c r="L184" s="319">
        <v>120</v>
      </c>
      <c r="M184" s="319">
        <v>180</v>
      </c>
      <c r="N184" s="417">
        <f>+AVERAGE(J184:M184)</f>
        <v>90</v>
      </c>
      <c r="O184" s="311">
        <f t="shared" ref="O184" si="147">+O183+50</f>
        <v>250</v>
      </c>
      <c r="P184" s="311">
        <f t="shared" ref="P184" si="148">+P183+50</f>
        <v>280</v>
      </c>
      <c r="Q184" s="311">
        <f t="shared" ref="Q184" si="149">+Q183+50</f>
        <v>310</v>
      </c>
    </row>
    <row r="185" spans="1:17" s="289" customFormat="1" x14ac:dyDescent="0.2"/>
    <row r="186" spans="1:17" s="289" customFormat="1" x14ac:dyDescent="0.2">
      <c r="A186" s="289" t="s">
        <v>197</v>
      </c>
      <c r="D186" s="412">
        <v>2</v>
      </c>
      <c r="E186" s="413"/>
      <c r="F186" s="413"/>
      <c r="G186" s="413"/>
      <c r="H186" s="413"/>
    </row>
    <row r="187" spans="1:17" s="289" customFormat="1" x14ac:dyDescent="0.2">
      <c r="A187" s="303" t="str">
        <f ca="1">+OFFSET(A187,$D$186,0)</f>
        <v>Base (Company)</v>
      </c>
      <c r="B187" s="304"/>
      <c r="C187" s="304"/>
      <c r="D187" s="304"/>
      <c r="E187" s="304">
        <f t="shared" ref="E187:Q187" ca="1" si="150">+OFFSET(E187,$D$186,0)</f>
        <v>100</v>
      </c>
      <c r="F187" s="304">
        <f t="shared" ca="1" si="150"/>
        <v>100</v>
      </c>
      <c r="G187" s="304">
        <f t="shared" ca="1" si="150"/>
        <v>100</v>
      </c>
      <c r="H187" s="304">
        <f t="shared" ca="1" si="150"/>
        <v>100</v>
      </c>
      <c r="I187" s="304">
        <f t="shared" ca="1" si="150"/>
        <v>100</v>
      </c>
      <c r="J187" s="304">
        <f t="shared" ca="1" si="150"/>
        <v>100</v>
      </c>
      <c r="K187" s="304">
        <f t="shared" ca="1" si="150"/>
        <v>100</v>
      </c>
      <c r="L187" s="304">
        <f t="shared" ca="1" si="150"/>
        <v>100</v>
      </c>
      <c r="M187" s="304">
        <f t="shared" ca="1" si="150"/>
        <v>100</v>
      </c>
      <c r="N187" s="304">
        <f t="shared" ca="1" si="150"/>
        <v>100</v>
      </c>
      <c r="O187" s="304">
        <f t="shared" ca="1" si="150"/>
        <v>100</v>
      </c>
      <c r="P187" s="304">
        <f t="shared" ca="1" si="150"/>
        <v>100</v>
      </c>
      <c r="Q187" s="420">
        <f t="shared" ca="1" si="150"/>
        <v>100</v>
      </c>
    </row>
    <row r="188" spans="1:17" s="4" customFormat="1" x14ac:dyDescent="0.2">
      <c r="A188" s="299" t="s">
        <v>185</v>
      </c>
      <c r="E188" s="418">
        <f>+E189-20</f>
        <v>80</v>
      </c>
      <c r="F188" s="418">
        <f>+F189-20</f>
        <v>80</v>
      </c>
      <c r="G188" s="418">
        <f>+G189-20</f>
        <v>80</v>
      </c>
      <c r="H188" s="418">
        <f>+H189-20</f>
        <v>80</v>
      </c>
      <c r="I188" s="417">
        <f>+AVERAGE(E188:H188)</f>
        <v>80</v>
      </c>
      <c r="J188" s="418">
        <f>+J189-20</f>
        <v>80</v>
      </c>
      <c r="K188" s="418">
        <f>+K189-20</f>
        <v>80</v>
      </c>
      <c r="L188" s="418">
        <f>+L189-20</f>
        <v>80</v>
      </c>
      <c r="M188" s="418">
        <f>+M189-20</f>
        <v>80</v>
      </c>
      <c r="N188" s="417">
        <f>+AVERAGE(J188:M188)</f>
        <v>80</v>
      </c>
      <c r="O188" s="308">
        <f t="shared" ref="O188:Q188" si="151">O189-20</f>
        <v>80</v>
      </c>
      <c r="P188" s="308">
        <f t="shared" si="151"/>
        <v>80</v>
      </c>
      <c r="Q188" s="308">
        <f t="shared" si="151"/>
        <v>80</v>
      </c>
    </row>
    <row r="189" spans="1:17" s="4" customFormat="1" x14ac:dyDescent="0.2">
      <c r="A189" s="299" t="s">
        <v>187</v>
      </c>
      <c r="E189" s="306">
        <v>100</v>
      </c>
      <c r="F189" s="306">
        <v>100</v>
      </c>
      <c r="G189" s="306">
        <v>100</v>
      </c>
      <c r="H189" s="306">
        <v>100</v>
      </c>
      <c r="I189" s="306">
        <v>100</v>
      </c>
      <c r="J189" s="306">
        <v>100</v>
      </c>
      <c r="K189" s="306">
        <v>100</v>
      </c>
      <c r="L189" s="306">
        <v>100</v>
      </c>
      <c r="M189" s="306">
        <v>100</v>
      </c>
      <c r="N189" s="306">
        <v>100</v>
      </c>
      <c r="O189" s="4">
        <v>100</v>
      </c>
      <c r="P189" s="4">
        <v>100</v>
      </c>
      <c r="Q189" s="4">
        <v>100</v>
      </c>
    </row>
    <row r="190" spans="1:17" s="4" customFormat="1" x14ac:dyDescent="0.2">
      <c r="A190" s="299" t="s">
        <v>186</v>
      </c>
      <c r="E190" s="418">
        <f>E189+20</f>
        <v>120</v>
      </c>
      <c r="F190" s="418">
        <f t="shared" ref="F190:H190" si="152">F189+20</f>
        <v>120</v>
      </c>
      <c r="G190" s="418">
        <f t="shared" si="152"/>
        <v>120</v>
      </c>
      <c r="H190" s="418">
        <f t="shared" si="152"/>
        <v>120</v>
      </c>
      <c r="I190" s="417">
        <f>+AVERAGE(E190:H190)</f>
        <v>120</v>
      </c>
      <c r="J190" s="418">
        <f>J189+20</f>
        <v>120</v>
      </c>
      <c r="K190" s="418">
        <f t="shared" ref="K190" si="153">K189+20</f>
        <v>120</v>
      </c>
      <c r="L190" s="418">
        <f t="shared" ref="L190" si="154">L189+20</f>
        <v>120</v>
      </c>
      <c r="M190" s="418">
        <f t="shared" ref="M190" si="155">M189+20</f>
        <v>120</v>
      </c>
      <c r="N190" s="417">
        <f>+AVERAGE(J190:M190)</f>
        <v>120</v>
      </c>
      <c r="O190" s="308">
        <f t="shared" ref="O190:Q190" si="156">O189+20</f>
        <v>120</v>
      </c>
      <c r="P190" s="308">
        <f t="shared" si="156"/>
        <v>120</v>
      </c>
      <c r="Q190" s="308">
        <f t="shared" si="156"/>
        <v>120</v>
      </c>
    </row>
  </sheetData>
  <pageMargins left="0.7" right="0.7" top="0.75" bottom="0.75" header="0.3" footer="0.3"/>
  <pageSetup scale="65" orientation="portrait" r:id="rId1"/>
  <rowBreaks count="2" manualBreakCount="2">
    <brk id="81" max="10" man="1"/>
    <brk id="149" max="1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G43"/>
  <sheetViews>
    <sheetView showGridLines="0" zoomScaleNormal="100" workbookViewId="0">
      <selection activeCell="C43" sqref="C43"/>
    </sheetView>
  </sheetViews>
  <sheetFormatPr defaultColWidth="10" defaultRowHeight="15" x14ac:dyDescent="0.25"/>
  <cols>
    <col min="1" max="1" width="59.42578125" style="25" bestFit="1" customWidth="1"/>
    <col min="2" max="2" width="50.42578125" style="25" customWidth="1"/>
    <col min="3" max="3" width="17.28515625" style="25" bestFit="1" customWidth="1"/>
    <col min="4" max="4" width="8.85546875" style="25" customWidth="1"/>
    <col min="5" max="7" width="12.5703125" style="25" customWidth="1"/>
    <col min="8" max="226" width="12.5703125" customWidth="1"/>
  </cols>
  <sheetData>
    <row r="1" spans="1:5" customFormat="1" x14ac:dyDescent="0.25">
      <c r="A1" s="22"/>
      <c r="B1" s="23"/>
      <c r="C1" s="23"/>
      <c r="D1" s="24"/>
      <c r="E1" s="25"/>
    </row>
    <row r="2" spans="1:5" customFormat="1" x14ac:dyDescent="0.25">
      <c r="A2" s="26"/>
      <c r="B2" s="27"/>
      <c r="C2" s="27"/>
      <c r="D2" s="28"/>
      <c r="E2" s="25"/>
    </row>
    <row r="3" spans="1:5" customFormat="1" x14ac:dyDescent="0.25">
      <c r="A3" s="26"/>
      <c r="B3" s="27"/>
      <c r="C3" s="27"/>
      <c r="D3" s="28"/>
      <c r="E3" s="25"/>
    </row>
    <row r="4" spans="1:5" customFormat="1" x14ac:dyDescent="0.25">
      <c r="A4" s="26"/>
      <c r="B4" s="27"/>
      <c r="C4" s="27"/>
      <c r="D4" s="28"/>
      <c r="E4" s="25"/>
    </row>
    <row r="5" spans="1:5" customFormat="1" x14ac:dyDescent="0.25">
      <c r="A5" s="29" t="s">
        <v>20</v>
      </c>
      <c r="B5" s="30">
        <v>70000</v>
      </c>
      <c r="C5" s="30"/>
      <c r="D5" s="31"/>
      <c r="E5" s="25"/>
    </row>
    <row r="6" spans="1:5" customFormat="1" x14ac:dyDescent="0.25">
      <c r="A6" s="29" t="s">
        <v>21</v>
      </c>
      <c r="B6" s="30">
        <v>50000</v>
      </c>
      <c r="C6" s="30"/>
      <c r="D6" s="31"/>
      <c r="E6" s="25"/>
    </row>
    <row r="7" spans="1:5" customFormat="1" x14ac:dyDescent="0.25">
      <c r="A7" s="32" t="s">
        <v>22</v>
      </c>
      <c r="B7" s="33">
        <v>10</v>
      </c>
      <c r="C7" s="34" t="s">
        <v>23</v>
      </c>
      <c r="D7" s="28"/>
      <c r="E7" s="25"/>
    </row>
    <row r="8" spans="1:5" customFormat="1" x14ac:dyDescent="0.25">
      <c r="A8" s="29" t="s">
        <v>24</v>
      </c>
      <c r="B8" s="35">
        <v>4</v>
      </c>
      <c r="C8" s="36" t="s">
        <v>25</v>
      </c>
      <c r="D8" s="28"/>
      <c r="E8" s="25"/>
    </row>
    <row r="9" spans="1:5" customFormat="1" x14ac:dyDescent="0.25">
      <c r="A9" s="29" t="s">
        <v>26</v>
      </c>
      <c r="B9" s="35">
        <v>1</v>
      </c>
      <c r="C9" s="37" t="s">
        <v>27</v>
      </c>
      <c r="D9" s="28"/>
      <c r="E9" s="25"/>
    </row>
    <row r="10" spans="1:5" customFormat="1" x14ac:dyDescent="0.25">
      <c r="A10" s="29" t="s">
        <v>28</v>
      </c>
      <c r="B10" s="35">
        <v>1</v>
      </c>
      <c r="C10" s="37" t="s">
        <v>27</v>
      </c>
      <c r="D10" s="28"/>
      <c r="E10" s="25"/>
    </row>
    <row r="11" spans="1:5" customFormat="1" x14ac:dyDescent="0.25">
      <c r="A11" s="26"/>
      <c r="B11" s="38"/>
      <c r="C11" s="38"/>
      <c r="D11" s="39"/>
      <c r="E11" s="25"/>
    </row>
    <row r="12" spans="1:5" customFormat="1" x14ac:dyDescent="0.25">
      <c r="A12" s="40"/>
      <c r="B12" s="41"/>
      <c r="C12" s="41"/>
      <c r="D12" s="42"/>
      <c r="E12" s="25"/>
    </row>
    <row r="14" spans="1:5" customFormat="1" x14ac:dyDescent="0.25">
      <c r="A14" s="22"/>
      <c r="B14" s="23"/>
      <c r="C14" s="43"/>
      <c r="D14" s="44"/>
      <c r="E14" s="25"/>
    </row>
    <row r="15" spans="1:5" customFormat="1" x14ac:dyDescent="0.25">
      <c r="A15" s="26"/>
      <c r="B15" s="45" t="s">
        <v>29</v>
      </c>
      <c r="C15" s="27"/>
      <c r="D15" s="28"/>
      <c r="E15" s="25"/>
    </row>
    <row r="16" spans="1:5" customFormat="1" x14ac:dyDescent="0.25">
      <c r="A16" s="26"/>
      <c r="B16" s="46" t="s">
        <v>30</v>
      </c>
      <c r="C16" s="47">
        <v>35</v>
      </c>
      <c r="D16" s="48"/>
      <c r="E16" s="25" t="s">
        <v>31</v>
      </c>
    </row>
    <row r="17" spans="1:4" customFormat="1" x14ac:dyDescent="0.25">
      <c r="A17" s="26"/>
      <c r="B17" s="27" t="s">
        <v>32</v>
      </c>
      <c r="C17" s="30">
        <f>DEVICE_COST_HIGH_V*-1</f>
        <v>-50000</v>
      </c>
      <c r="D17" s="31"/>
    </row>
    <row r="18" spans="1:4" customFormat="1" x14ac:dyDescent="0.25">
      <c r="A18" s="26"/>
      <c r="B18" s="27" t="s">
        <v>33</v>
      </c>
      <c r="C18" s="49">
        <v>0.15</v>
      </c>
      <c r="D18" s="31"/>
    </row>
    <row r="19" spans="1:4" customFormat="1" x14ac:dyDescent="0.25">
      <c r="A19" s="26"/>
      <c r="B19" s="27"/>
      <c r="C19" s="30"/>
      <c r="D19" s="31"/>
    </row>
    <row r="20" spans="1:4" customFormat="1" x14ac:dyDescent="0.25">
      <c r="A20" s="40"/>
      <c r="B20" s="50"/>
      <c r="C20" s="50"/>
      <c r="D20" s="51"/>
    </row>
    <row r="22" spans="1:4" customFormat="1" x14ac:dyDescent="0.25">
      <c r="A22" s="535" t="s">
        <v>34</v>
      </c>
      <c r="B22" s="536"/>
      <c r="C22" s="536"/>
      <c r="D22" s="536"/>
    </row>
    <row r="23" spans="1:4" customFormat="1" x14ac:dyDescent="0.25">
      <c r="A23" s="22"/>
      <c r="B23" s="23"/>
      <c r="C23" s="23"/>
      <c r="D23" s="23"/>
    </row>
    <row r="24" spans="1:4" customFormat="1" x14ac:dyDescent="0.25">
      <c r="A24" s="52" t="s">
        <v>35</v>
      </c>
      <c r="B24" s="23"/>
      <c r="C24" s="24"/>
      <c r="D24" s="27"/>
    </row>
    <row r="25" spans="1:4" customFormat="1" x14ac:dyDescent="0.25">
      <c r="A25" s="26"/>
      <c r="B25" s="27" t="s">
        <v>36</v>
      </c>
      <c r="C25" s="53">
        <v>1800</v>
      </c>
      <c r="D25" s="54"/>
    </row>
    <row r="26" spans="1:4" customFormat="1" x14ac:dyDescent="0.25">
      <c r="A26" s="26"/>
      <c r="B26" s="27" t="s">
        <v>37</v>
      </c>
      <c r="C26" s="53">
        <v>120000000</v>
      </c>
      <c r="D26" s="54"/>
    </row>
    <row r="27" spans="1:4" customFormat="1" x14ac:dyDescent="0.25">
      <c r="A27" s="26"/>
      <c r="B27" s="27" t="s">
        <v>38</v>
      </c>
      <c r="C27" s="55">
        <v>0.7</v>
      </c>
      <c r="D27" s="49"/>
    </row>
    <row r="28" spans="1:4" customFormat="1" x14ac:dyDescent="0.25">
      <c r="A28" s="26"/>
      <c r="B28" s="27" t="s">
        <v>39</v>
      </c>
      <c r="C28" s="56">
        <f>C26*C27</f>
        <v>84000000</v>
      </c>
      <c r="D28" s="57"/>
    </row>
    <row r="29" spans="1:4" customFormat="1" x14ac:dyDescent="0.25">
      <c r="A29" s="26"/>
      <c r="B29" s="27" t="s">
        <v>40</v>
      </c>
      <c r="C29" s="56">
        <v>6000</v>
      </c>
      <c r="D29" s="312"/>
    </row>
    <row r="30" spans="1:4" customFormat="1" x14ac:dyDescent="0.25">
      <c r="A30" s="40"/>
      <c r="B30" s="50"/>
      <c r="C30" s="51"/>
      <c r="D30" s="27"/>
    </row>
    <row r="31" spans="1:4" customFormat="1" x14ac:dyDescent="0.25">
      <c r="A31" s="26"/>
      <c r="B31" s="27"/>
      <c r="C31" s="27"/>
      <c r="D31" s="27"/>
    </row>
    <row r="32" spans="1:4" customFormat="1" x14ac:dyDescent="0.25">
      <c r="A32" s="57"/>
      <c r="B32" s="57"/>
      <c r="C32" s="57"/>
      <c r="D32" s="57"/>
    </row>
    <row r="33" spans="1:4" customFormat="1" x14ac:dyDescent="0.25">
      <c r="A33" s="58" t="s">
        <v>41</v>
      </c>
      <c r="B33" s="23"/>
      <c r="C33" s="24"/>
      <c r="D33" s="27"/>
    </row>
    <row r="34" spans="1:4" customFormat="1" x14ac:dyDescent="0.25">
      <c r="A34" s="26"/>
      <c r="B34" s="27" t="s">
        <v>42</v>
      </c>
      <c r="C34" s="53">
        <v>6000</v>
      </c>
      <c r="D34" s="27" t="s">
        <v>43</v>
      </c>
    </row>
    <row r="35" spans="1:4" customFormat="1" x14ac:dyDescent="0.25">
      <c r="A35" s="26"/>
      <c r="B35" s="27" t="s">
        <v>44</v>
      </c>
      <c r="C35" s="53">
        <f>ROUND(55000*365,-6)</f>
        <v>20000000</v>
      </c>
      <c r="D35" s="54" t="s">
        <v>45</v>
      </c>
    </row>
    <row r="36" spans="1:4" customFormat="1" x14ac:dyDescent="0.25">
      <c r="A36" s="26"/>
      <c r="B36" s="27" t="s">
        <v>46</v>
      </c>
      <c r="C36" s="55">
        <v>1</v>
      </c>
      <c r="D36" s="27" t="s">
        <v>47</v>
      </c>
    </row>
    <row r="37" spans="1:4" customFormat="1" x14ac:dyDescent="0.25">
      <c r="A37" s="26"/>
      <c r="B37" s="27" t="s">
        <v>48</v>
      </c>
      <c r="C37" s="56">
        <v>1</v>
      </c>
      <c r="D37" s="27"/>
    </row>
    <row r="38" spans="1:4" customFormat="1" x14ac:dyDescent="0.25">
      <c r="A38" s="26"/>
      <c r="B38" s="27" t="s">
        <v>49</v>
      </c>
      <c r="C38" s="56">
        <f>C35*C36*C37</f>
        <v>20000000</v>
      </c>
      <c r="D38" s="27"/>
    </row>
    <row r="39" spans="1:4" customFormat="1" x14ac:dyDescent="0.25">
      <c r="A39" s="40"/>
      <c r="B39" s="50"/>
      <c r="C39" s="51"/>
      <c r="D39" s="59"/>
    </row>
    <row r="40" spans="1:4" customFormat="1" x14ac:dyDescent="0.25">
      <c r="A40" s="25"/>
      <c r="B40" s="25"/>
      <c r="C40" s="25"/>
      <c r="D40" s="59"/>
    </row>
    <row r="41" spans="1:4" customFormat="1" x14ac:dyDescent="0.25">
      <c r="A41" s="25"/>
      <c r="B41" s="25"/>
      <c r="C41" s="25"/>
      <c r="D41" s="60"/>
    </row>
    <row r="42" spans="1:4" customFormat="1" x14ac:dyDescent="0.25">
      <c r="A42" s="25"/>
      <c r="B42" s="25" t="s">
        <v>50</v>
      </c>
      <c r="C42" s="25">
        <v>4</v>
      </c>
      <c r="D42" s="61"/>
    </row>
    <row r="43" spans="1:4" customFormat="1" x14ac:dyDescent="0.25">
      <c r="A43" s="26"/>
      <c r="B43" s="27" t="s">
        <v>51</v>
      </c>
      <c r="C43" s="62">
        <v>100</v>
      </c>
      <c r="D43" s="27"/>
    </row>
  </sheetData>
  <mergeCells count="1">
    <mergeCell ref="A22:D22"/>
  </mergeCells>
  <pageMargins left="0.7" right="0.7" top="0.75" bottom="0.75" header="0.3" footer="0.3"/>
  <pageSetup paperSize="0"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R61"/>
  <sheetViews>
    <sheetView showGridLines="0" zoomScale="70" zoomScaleNormal="70" workbookViewId="0">
      <pane xSplit="8" ySplit="1" topLeftCell="X2" activePane="bottomRight" state="frozen"/>
      <selection pane="topRight" activeCell="I1" sqref="I1"/>
      <selection pane="bottomLeft" activeCell="A2" sqref="A2"/>
      <selection pane="bottomRight" activeCell="AD3" sqref="AD3:AF3"/>
    </sheetView>
  </sheetViews>
  <sheetFormatPr defaultColWidth="12.28515625" defaultRowHeight="15" outlineLevelCol="1" x14ac:dyDescent="0.25"/>
  <cols>
    <col min="1" max="1" width="3" style="77" customWidth="1"/>
    <col min="2" max="2" width="24.85546875" style="77" bestFit="1" customWidth="1"/>
    <col min="3" max="3" width="44.28515625" style="77" bestFit="1" customWidth="1"/>
    <col min="4" max="4" width="15.28515625" style="77" hidden="1" customWidth="1"/>
    <col min="5" max="7" width="18" style="77" hidden="1" customWidth="1"/>
    <col min="8" max="8" width="18" style="76" hidden="1" customWidth="1"/>
    <col min="9" max="9" width="22.85546875" style="77" customWidth="1" outlineLevel="1"/>
    <col min="10" max="10" width="21.28515625" style="77" customWidth="1" outlineLevel="1"/>
    <col min="11" max="12" width="18" style="77" customWidth="1" outlineLevel="1"/>
    <col min="13" max="13" width="17.85546875" style="77" customWidth="1" outlineLevel="1"/>
    <col min="14" max="14" width="17.5703125" style="77" customWidth="1" outlineLevel="1"/>
    <col min="15" max="19" width="18.85546875" style="77" customWidth="1" outlineLevel="1"/>
    <col min="20" max="20" width="18.85546875" style="75" customWidth="1" outlineLevel="1"/>
    <col min="21" max="31" width="18.7109375" style="75" customWidth="1" outlineLevel="1"/>
    <col min="32" max="32" width="18.7109375" style="76" customWidth="1" outlineLevel="1"/>
    <col min="33" max="33" width="20.28515625" style="27" bestFit="1" customWidth="1"/>
    <col min="34" max="34" width="22.140625" style="28" bestFit="1" customWidth="1"/>
    <col min="35" max="35" width="16.85546875" style="77" hidden="1" customWidth="1"/>
    <col min="36" max="36" width="13.42578125" style="77" hidden="1" customWidth="1"/>
    <col min="37" max="16384" width="12.28515625" style="77"/>
  </cols>
  <sheetData>
    <row r="1" spans="1:37" s="63" customFormat="1" ht="12.75" x14ac:dyDescent="0.2">
      <c r="B1" s="64"/>
      <c r="C1" s="64"/>
      <c r="D1" s="65">
        <v>38929</v>
      </c>
      <c r="E1" s="65">
        <v>38960</v>
      </c>
      <c r="F1" s="65">
        <v>38990</v>
      </c>
      <c r="G1" s="65">
        <v>39021</v>
      </c>
      <c r="H1" s="66">
        <v>39051</v>
      </c>
      <c r="I1" s="65">
        <v>41640</v>
      </c>
      <c r="J1" s="65">
        <v>41671</v>
      </c>
      <c r="K1" s="65">
        <v>41699</v>
      </c>
      <c r="L1" s="65">
        <v>41730</v>
      </c>
      <c r="M1" s="65">
        <v>41760</v>
      </c>
      <c r="N1" s="65">
        <v>41791</v>
      </c>
      <c r="O1" s="65">
        <v>41821</v>
      </c>
      <c r="P1" s="65">
        <v>41852</v>
      </c>
      <c r="Q1" s="65">
        <v>41883</v>
      </c>
      <c r="R1" s="65">
        <v>41913</v>
      </c>
      <c r="S1" s="65">
        <v>41944</v>
      </c>
      <c r="T1" s="65">
        <v>41974</v>
      </c>
      <c r="U1" s="65">
        <v>42005</v>
      </c>
      <c r="V1" s="65">
        <v>42036</v>
      </c>
      <c r="W1" s="65">
        <v>42064</v>
      </c>
      <c r="X1" s="65">
        <v>42095</v>
      </c>
      <c r="Y1" s="65">
        <v>42125</v>
      </c>
      <c r="Z1" s="65">
        <v>42156</v>
      </c>
      <c r="AA1" s="65">
        <v>42186</v>
      </c>
      <c r="AB1" s="65">
        <v>42217</v>
      </c>
      <c r="AC1" s="65">
        <v>42248</v>
      </c>
      <c r="AD1" s="65">
        <v>42278</v>
      </c>
      <c r="AE1" s="65">
        <v>42309</v>
      </c>
      <c r="AF1" s="65">
        <v>42339</v>
      </c>
      <c r="AG1" s="67">
        <v>2014</v>
      </c>
      <c r="AH1" s="68">
        <v>2015</v>
      </c>
      <c r="AI1" s="63">
        <v>2013</v>
      </c>
      <c r="AJ1" s="63">
        <v>2014</v>
      </c>
    </row>
    <row r="2" spans="1:37" s="63" customFormat="1" ht="12.75" customHeight="1" x14ac:dyDescent="0.2">
      <c r="A2" s="541" t="s">
        <v>52</v>
      </c>
      <c r="B2" s="69"/>
      <c r="C2" s="64"/>
      <c r="D2" s="65"/>
      <c r="E2" s="65"/>
      <c r="F2" s="65"/>
      <c r="G2" s="65"/>
      <c r="H2" s="66"/>
      <c r="I2" s="65"/>
      <c r="J2" s="65"/>
      <c r="K2" s="65"/>
      <c r="L2" s="65"/>
      <c r="M2" s="65"/>
      <c r="N2" s="65"/>
      <c r="O2" s="65"/>
      <c r="P2" s="65"/>
      <c r="Q2" s="65"/>
      <c r="R2" s="65"/>
      <c r="S2" s="65"/>
      <c r="T2" s="70"/>
      <c r="U2" s="70"/>
      <c r="V2" s="70"/>
      <c r="W2" s="70"/>
      <c r="X2" s="70"/>
      <c r="Y2" s="70"/>
      <c r="Z2" s="70"/>
      <c r="AA2" s="70"/>
      <c r="AB2" s="70"/>
      <c r="AC2" s="70"/>
      <c r="AD2" s="70"/>
      <c r="AE2" s="70"/>
      <c r="AF2" s="66"/>
      <c r="AG2" s="71"/>
      <c r="AH2" s="68"/>
    </row>
    <row r="3" spans="1:37" s="63" customFormat="1" ht="12.75" x14ac:dyDescent="0.2">
      <c r="A3" s="541"/>
      <c r="B3" s="543" t="s">
        <v>182</v>
      </c>
      <c r="C3" s="207" t="s">
        <v>53</v>
      </c>
      <c r="D3" s="208">
        <v>0</v>
      </c>
      <c r="E3" s="208">
        <v>0</v>
      </c>
      <c r="F3" s="207">
        <v>0</v>
      </c>
      <c r="G3" s="208">
        <v>0</v>
      </c>
      <c r="H3" s="209">
        <v>0</v>
      </c>
      <c r="I3" s="208">
        <v>11</v>
      </c>
      <c r="J3" s="208">
        <v>21</v>
      </c>
      <c r="K3" s="208">
        <v>21</v>
      </c>
      <c r="L3" s="208">
        <v>40</v>
      </c>
      <c r="M3" s="208">
        <v>40</v>
      </c>
      <c r="N3" s="208">
        <v>100</v>
      </c>
      <c r="O3" s="208">
        <f>N3</f>
        <v>100</v>
      </c>
      <c r="P3" s="208">
        <f>O3+100</f>
        <v>200</v>
      </c>
      <c r="Q3" s="208">
        <f>P3+200</f>
        <v>400</v>
      </c>
      <c r="R3" s="208">
        <f>Q3+200</f>
        <v>600</v>
      </c>
      <c r="S3" s="208">
        <f>R3+200</f>
        <v>800</v>
      </c>
      <c r="T3" s="208">
        <f>S3+200</f>
        <v>1000</v>
      </c>
      <c r="U3" s="208">
        <f t="shared" ref="U3:AC3" si="0">T3+100</f>
        <v>1100</v>
      </c>
      <c r="V3" s="208">
        <f t="shared" si="0"/>
        <v>1200</v>
      </c>
      <c r="W3" s="208">
        <f t="shared" si="0"/>
        <v>1300</v>
      </c>
      <c r="X3" s="208">
        <f t="shared" si="0"/>
        <v>1400</v>
      </c>
      <c r="Y3" s="208">
        <f t="shared" si="0"/>
        <v>1500</v>
      </c>
      <c r="Z3" s="208">
        <f t="shared" si="0"/>
        <v>1600</v>
      </c>
      <c r="AA3" s="208">
        <f t="shared" si="0"/>
        <v>1700</v>
      </c>
      <c r="AB3" s="208">
        <f>AA3+300</f>
        <v>2000</v>
      </c>
      <c r="AC3" s="208">
        <f t="shared" si="0"/>
        <v>2100</v>
      </c>
      <c r="AD3" s="208">
        <f>AC3+300</f>
        <v>2400</v>
      </c>
      <c r="AE3" s="208">
        <f>AD3</f>
        <v>2400</v>
      </c>
      <c r="AF3" s="209">
        <f>AE3</f>
        <v>2400</v>
      </c>
      <c r="AG3" s="210">
        <f>T3</f>
        <v>1000</v>
      </c>
      <c r="AH3" s="72">
        <f>AF3</f>
        <v>2400</v>
      </c>
    </row>
    <row r="4" spans="1:37" s="63" customFormat="1" ht="12.75" hidden="1" x14ac:dyDescent="0.2">
      <c r="A4" s="541"/>
      <c r="B4" s="543"/>
      <c r="C4" s="207" t="s">
        <v>54</v>
      </c>
      <c r="D4" s="208"/>
      <c r="E4" s="208"/>
      <c r="F4" s="207"/>
      <c r="G4" s="208"/>
      <c r="H4" s="209"/>
      <c r="I4" s="208">
        <v>0</v>
      </c>
      <c r="J4" s="208">
        <v>0</v>
      </c>
      <c r="K4" s="208">
        <v>0</v>
      </c>
      <c r="L4" s="208">
        <v>0</v>
      </c>
      <c r="M4" s="208">
        <v>0</v>
      </c>
      <c r="N4" s="208"/>
      <c r="O4" s="208">
        <v>0</v>
      </c>
      <c r="P4" s="208">
        <v>0</v>
      </c>
      <c r="Q4" s="208">
        <v>0</v>
      </c>
      <c r="R4" s="208">
        <v>0</v>
      </c>
      <c r="S4" s="208">
        <v>0</v>
      </c>
      <c r="T4" s="208">
        <v>0</v>
      </c>
      <c r="U4" s="208">
        <v>0</v>
      </c>
      <c r="V4" s="208">
        <v>0</v>
      </c>
      <c r="W4" s="208">
        <v>0</v>
      </c>
      <c r="X4" s="208">
        <v>0</v>
      </c>
      <c r="Y4" s="208">
        <v>0</v>
      </c>
      <c r="Z4" s="208">
        <v>0</v>
      </c>
      <c r="AA4" s="208">
        <v>0</v>
      </c>
      <c r="AB4" s="208">
        <v>0</v>
      </c>
      <c r="AC4" s="208">
        <v>0</v>
      </c>
      <c r="AD4" s="208">
        <v>0</v>
      </c>
      <c r="AE4" s="208">
        <v>0</v>
      </c>
      <c r="AF4" s="209">
        <v>0</v>
      </c>
      <c r="AG4" s="210">
        <f>T4</f>
        <v>0</v>
      </c>
      <c r="AH4" s="72">
        <f>AF4</f>
        <v>0</v>
      </c>
    </row>
    <row r="5" spans="1:37" s="63" customFormat="1" ht="12.75" x14ac:dyDescent="0.2">
      <c r="A5" s="541"/>
      <c r="B5" s="543"/>
      <c r="C5" s="207" t="s">
        <v>55</v>
      </c>
      <c r="D5" s="208">
        <v>0</v>
      </c>
      <c r="E5" s="208">
        <v>0</v>
      </c>
      <c r="F5" s="207">
        <v>0</v>
      </c>
      <c r="G5" s="208">
        <v>0</v>
      </c>
      <c r="H5" s="209">
        <v>0</v>
      </c>
      <c r="I5" s="208">
        <v>0</v>
      </c>
      <c r="J5" s="208">
        <v>0</v>
      </c>
      <c r="K5" s="208">
        <f>J5</f>
        <v>0</v>
      </c>
      <c r="L5" s="208"/>
      <c r="M5" s="208">
        <v>10</v>
      </c>
      <c r="N5" s="208">
        <f>M5</f>
        <v>10</v>
      </c>
      <c r="O5" s="208">
        <v>90</v>
      </c>
      <c r="P5" s="208">
        <f>O5</f>
        <v>90</v>
      </c>
      <c r="Q5" s="208">
        <f>P5</f>
        <v>90</v>
      </c>
      <c r="R5" s="208">
        <v>200</v>
      </c>
      <c r="S5" s="208">
        <f>R5</f>
        <v>200</v>
      </c>
      <c r="T5" s="208">
        <f>S5</f>
        <v>200</v>
      </c>
      <c r="U5" s="208">
        <v>300</v>
      </c>
      <c r="V5" s="208">
        <f t="shared" ref="V5:Y5" si="1">MIN(S3,U5+100)</f>
        <v>400</v>
      </c>
      <c r="W5" s="208">
        <f t="shared" si="1"/>
        <v>500</v>
      </c>
      <c r="X5" s="208">
        <f t="shared" si="1"/>
        <v>600</v>
      </c>
      <c r="Y5" s="208">
        <f t="shared" si="1"/>
        <v>700</v>
      </c>
      <c r="Z5" s="208">
        <f t="shared" ref="Z5:AF5" si="2">Y5</f>
        <v>700</v>
      </c>
      <c r="AA5" s="208">
        <f t="shared" si="2"/>
        <v>700</v>
      </c>
      <c r="AB5" s="208">
        <f t="shared" si="2"/>
        <v>700</v>
      </c>
      <c r="AC5" s="208">
        <f t="shared" si="2"/>
        <v>700</v>
      </c>
      <c r="AD5" s="208">
        <f t="shared" si="2"/>
        <v>700</v>
      </c>
      <c r="AE5" s="208">
        <f t="shared" si="2"/>
        <v>700</v>
      </c>
      <c r="AF5" s="209">
        <f t="shared" si="2"/>
        <v>700</v>
      </c>
      <c r="AG5" s="210">
        <f>T5</f>
        <v>200</v>
      </c>
      <c r="AH5" s="72">
        <f>AF5</f>
        <v>700</v>
      </c>
    </row>
    <row r="6" spans="1:37" s="73" customFormat="1" ht="12.75" x14ac:dyDescent="0.2">
      <c r="A6" s="541"/>
      <c r="B6" s="544"/>
      <c r="C6" s="211" t="s">
        <v>56</v>
      </c>
      <c r="D6" s="212">
        <f t="shared" ref="D6:AH6" si="3">SUM(D3:D5)</f>
        <v>0</v>
      </c>
      <c r="E6" s="212">
        <f t="shared" si="3"/>
        <v>0</v>
      </c>
      <c r="F6" s="213">
        <f t="shared" si="3"/>
        <v>0</v>
      </c>
      <c r="G6" s="212">
        <f t="shared" si="3"/>
        <v>0</v>
      </c>
      <c r="H6" s="214">
        <f t="shared" si="3"/>
        <v>0</v>
      </c>
      <c r="I6" s="212">
        <f t="shared" si="3"/>
        <v>11</v>
      </c>
      <c r="J6" s="212">
        <f t="shared" si="3"/>
        <v>21</v>
      </c>
      <c r="K6" s="212">
        <f t="shared" si="3"/>
        <v>21</v>
      </c>
      <c r="L6" s="212">
        <f t="shared" si="3"/>
        <v>40</v>
      </c>
      <c r="M6" s="212">
        <f t="shared" si="3"/>
        <v>50</v>
      </c>
      <c r="N6" s="212">
        <f t="shared" si="3"/>
        <v>110</v>
      </c>
      <c r="O6" s="212">
        <f t="shared" si="3"/>
        <v>190</v>
      </c>
      <c r="P6" s="212">
        <f t="shared" si="3"/>
        <v>290</v>
      </c>
      <c r="Q6" s="212">
        <f t="shared" si="3"/>
        <v>490</v>
      </c>
      <c r="R6" s="212">
        <f t="shared" si="3"/>
        <v>800</v>
      </c>
      <c r="S6" s="212">
        <f t="shared" si="3"/>
        <v>1000</v>
      </c>
      <c r="T6" s="212">
        <f t="shared" si="3"/>
        <v>1200</v>
      </c>
      <c r="U6" s="212">
        <f t="shared" si="3"/>
        <v>1400</v>
      </c>
      <c r="V6" s="212">
        <f t="shared" si="3"/>
        <v>1600</v>
      </c>
      <c r="W6" s="212">
        <f t="shared" si="3"/>
        <v>1800</v>
      </c>
      <c r="X6" s="212">
        <f t="shared" si="3"/>
        <v>2000</v>
      </c>
      <c r="Y6" s="212">
        <f t="shared" si="3"/>
        <v>2200</v>
      </c>
      <c r="Z6" s="212">
        <f t="shared" si="3"/>
        <v>2300</v>
      </c>
      <c r="AA6" s="212">
        <f t="shared" si="3"/>
        <v>2400</v>
      </c>
      <c r="AB6" s="212">
        <f t="shared" si="3"/>
        <v>2700</v>
      </c>
      <c r="AC6" s="212">
        <f t="shared" si="3"/>
        <v>2800</v>
      </c>
      <c r="AD6" s="212">
        <f t="shared" si="3"/>
        <v>3100</v>
      </c>
      <c r="AE6" s="212">
        <f t="shared" si="3"/>
        <v>3100</v>
      </c>
      <c r="AF6" s="214">
        <f t="shared" si="3"/>
        <v>3100</v>
      </c>
      <c r="AG6" s="212">
        <f t="shared" si="3"/>
        <v>1200</v>
      </c>
      <c r="AH6" s="214">
        <f t="shared" si="3"/>
        <v>3100</v>
      </c>
    </row>
    <row r="7" spans="1:37" s="63" customFormat="1" ht="12.75" x14ac:dyDescent="0.2">
      <c r="A7" s="541"/>
      <c r="B7" s="545" t="s">
        <v>57</v>
      </c>
      <c r="C7" s="215" t="str">
        <f>C3</f>
        <v>Walgreens</v>
      </c>
      <c r="D7" s="216">
        <v>0</v>
      </c>
      <c r="E7" s="216">
        <v>0</v>
      </c>
      <c r="F7" s="215">
        <v>0</v>
      </c>
      <c r="G7" s="216">
        <v>0</v>
      </c>
      <c r="H7" s="217">
        <v>0</v>
      </c>
      <c r="I7" s="216">
        <v>10</v>
      </c>
      <c r="J7" s="216">
        <v>20</v>
      </c>
      <c r="K7" s="216">
        <v>20</v>
      </c>
      <c r="L7" s="216">
        <v>20</v>
      </c>
      <c r="M7" s="216">
        <v>25</v>
      </c>
      <c r="N7" s="216">
        <f>M7</f>
        <v>25</v>
      </c>
      <c r="O7" s="216">
        <f t="shared" ref="O7:AD9" si="4">N7</f>
        <v>25</v>
      </c>
      <c r="P7" s="216">
        <f t="shared" si="4"/>
        <v>25</v>
      </c>
      <c r="Q7" s="216">
        <v>25</v>
      </c>
      <c r="R7" s="216">
        <f t="shared" si="4"/>
        <v>25</v>
      </c>
      <c r="S7" s="216">
        <f t="shared" si="4"/>
        <v>25</v>
      </c>
      <c r="T7" s="216">
        <f t="shared" si="4"/>
        <v>25</v>
      </c>
      <c r="U7" s="216">
        <f t="shared" si="4"/>
        <v>25</v>
      </c>
      <c r="V7" s="216">
        <f t="shared" si="4"/>
        <v>25</v>
      </c>
      <c r="W7" s="216">
        <f t="shared" si="4"/>
        <v>25</v>
      </c>
      <c r="X7" s="216">
        <f t="shared" si="4"/>
        <v>25</v>
      </c>
      <c r="Y7" s="216">
        <f t="shared" si="4"/>
        <v>25</v>
      </c>
      <c r="Z7" s="216">
        <f t="shared" si="4"/>
        <v>25</v>
      </c>
      <c r="AA7" s="216">
        <f t="shared" si="4"/>
        <v>25</v>
      </c>
      <c r="AB7" s="216">
        <f t="shared" si="4"/>
        <v>25</v>
      </c>
      <c r="AC7" s="216">
        <f t="shared" si="4"/>
        <v>25</v>
      </c>
      <c r="AD7" s="216">
        <f t="shared" si="4"/>
        <v>25</v>
      </c>
      <c r="AE7" s="216">
        <f t="shared" ref="U7:AF9" si="5">AD7</f>
        <v>25</v>
      </c>
      <c r="AF7" s="217">
        <f t="shared" si="5"/>
        <v>25</v>
      </c>
      <c r="AG7" s="259">
        <f>AVERAGE(I7:T7)</f>
        <v>22.5</v>
      </c>
      <c r="AH7" s="260">
        <f>AVERAGE(U7:AF7)</f>
        <v>25</v>
      </c>
    </row>
    <row r="8" spans="1:37" s="63" customFormat="1" hidden="1" x14ac:dyDescent="0.25">
      <c r="A8" s="541"/>
      <c r="B8" s="546"/>
      <c r="C8" s="218" t="str">
        <f>C4</f>
        <v>Theranos Locations</v>
      </c>
      <c r="D8" s="210">
        <v>0</v>
      </c>
      <c r="E8" s="210">
        <v>0</v>
      </c>
      <c r="F8" s="218">
        <v>0</v>
      </c>
      <c r="G8" s="210">
        <v>0</v>
      </c>
      <c r="H8" s="209">
        <v>0</v>
      </c>
      <c r="I8" s="219">
        <v>0</v>
      </c>
      <c r="J8" s="219">
        <v>0</v>
      </c>
      <c r="K8" s="219">
        <v>0</v>
      </c>
      <c r="L8" s="219">
        <v>0</v>
      </c>
      <c r="M8" s="219">
        <v>0</v>
      </c>
      <c r="N8" s="219">
        <v>0</v>
      </c>
      <c r="O8" s="219">
        <v>0</v>
      </c>
      <c r="P8" s="219">
        <v>0</v>
      </c>
      <c r="Q8" s="219">
        <v>50</v>
      </c>
      <c r="R8" s="219">
        <f>Q8</f>
        <v>50</v>
      </c>
      <c r="S8" s="219">
        <f t="shared" si="4"/>
        <v>50</v>
      </c>
      <c r="T8" s="219">
        <f t="shared" si="4"/>
        <v>50</v>
      </c>
      <c r="U8" s="219">
        <f t="shared" si="4"/>
        <v>50</v>
      </c>
      <c r="V8" s="219">
        <f t="shared" si="4"/>
        <v>50</v>
      </c>
      <c r="W8" s="219">
        <f t="shared" si="4"/>
        <v>50</v>
      </c>
      <c r="X8" s="219">
        <f t="shared" si="4"/>
        <v>50</v>
      </c>
      <c r="Y8" s="219">
        <f t="shared" si="4"/>
        <v>50</v>
      </c>
      <c r="Z8" s="219">
        <f t="shared" si="4"/>
        <v>50</v>
      </c>
      <c r="AA8" s="219">
        <f t="shared" si="4"/>
        <v>50</v>
      </c>
      <c r="AB8" s="219">
        <f t="shared" si="4"/>
        <v>50</v>
      </c>
      <c r="AC8" s="219">
        <f t="shared" si="4"/>
        <v>50</v>
      </c>
      <c r="AD8" s="219">
        <f t="shared" si="4"/>
        <v>50</v>
      </c>
      <c r="AE8" s="219">
        <f t="shared" si="5"/>
        <v>50</v>
      </c>
      <c r="AF8" s="220">
        <f t="shared" si="5"/>
        <v>50</v>
      </c>
      <c r="AG8" s="259">
        <f t="shared" ref="AG8:AG12" si="6">AVERAGE(I8:T8)</f>
        <v>16.666666666666668</v>
      </c>
      <c r="AH8" s="260">
        <f>SUM(U8:AF8)</f>
        <v>600</v>
      </c>
    </row>
    <row r="9" spans="1:37" s="73" customFormat="1" x14ac:dyDescent="0.25">
      <c r="A9" s="541"/>
      <c r="B9" s="547"/>
      <c r="C9" s="221" t="str">
        <f>C5</f>
        <v>Other Retail Pharmacies</v>
      </c>
      <c r="D9" s="222">
        <v>0</v>
      </c>
      <c r="E9" s="222">
        <v>0</v>
      </c>
      <c r="F9" s="223">
        <v>0</v>
      </c>
      <c r="G9" s="222">
        <v>0</v>
      </c>
      <c r="H9" s="224">
        <v>0</v>
      </c>
      <c r="I9" s="222"/>
      <c r="J9" s="222">
        <f>J7</f>
        <v>20</v>
      </c>
      <c r="K9" s="222">
        <f>K7</f>
        <v>20</v>
      </c>
      <c r="L9" s="222">
        <f>L7</f>
        <v>20</v>
      </c>
      <c r="M9" s="222">
        <f>L9</f>
        <v>20</v>
      </c>
      <c r="N9" s="222">
        <f t="shared" ref="N9:Q9" si="7">M9</f>
        <v>20</v>
      </c>
      <c r="O9" s="222">
        <f t="shared" si="7"/>
        <v>20</v>
      </c>
      <c r="P9" s="222">
        <f t="shared" si="7"/>
        <v>20</v>
      </c>
      <c r="Q9" s="222">
        <f t="shared" si="7"/>
        <v>20</v>
      </c>
      <c r="R9" s="222">
        <v>25</v>
      </c>
      <c r="S9" s="222">
        <f t="shared" si="4"/>
        <v>25</v>
      </c>
      <c r="T9" s="222">
        <f t="shared" si="4"/>
        <v>25</v>
      </c>
      <c r="U9" s="222">
        <f t="shared" si="5"/>
        <v>25</v>
      </c>
      <c r="V9" s="222">
        <f t="shared" si="5"/>
        <v>25</v>
      </c>
      <c r="W9" s="222">
        <f t="shared" si="5"/>
        <v>25</v>
      </c>
      <c r="X9" s="222">
        <f t="shared" si="5"/>
        <v>25</v>
      </c>
      <c r="Y9" s="222">
        <f t="shared" si="5"/>
        <v>25</v>
      </c>
      <c r="Z9" s="222">
        <f t="shared" si="5"/>
        <v>25</v>
      </c>
      <c r="AA9" s="222">
        <f t="shared" si="5"/>
        <v>25</v>
      </c>
      <c r="AB9" s="222">
        <f t="shared" si="5"/>
        <v>25</v>
      </c>
      <c r="AC9" s="222">
        <f t="shared" si="5"/>
        <v>25</v>
      </c>
      <c r="AD9" s="222">
        <f t="shared" si="5"/>
        <v>25</v>
      </c>
      <c r="AE9" s="222">
        <f t="shared" si="5"/>
        <v>25</v>
      </c>
      <c r="AF9" s="224">
        <f t="shared" si="5"/>
        <v>25</v>
      </c>
      <c r="AG9" s="261">
        <f t="shared" si="6"/>
        <v>21.363636363636363</v>
      </c>
      <c r="AH9" s="265">
        <f>AVERAGE(U9:AF9)</f>
        <v>25</v>
      </c>
    </row>
    <row r="10" spans="1:37" s="225" customFormat="1" ht="12.75" x14ac:dyDescent="0.2">
      <c r="A10" s="541"/>
      <c r="B10" s="548" t="s">
        <v>58</v>
      </c>
      <c r="C10" s="207" t="str">
        <f>C3</f>
        <v>Walgreens</v>
      </c>
      <c r="D10" s="225">
        <v>0</v>
      </c>
      <c r="E10" s="225">
        <v>0</v>
      </c>
      <c r="F10" s="226">
        <v>0</v>
      </c>
      <c r="G10" s="225">
        <v>0</v>
      </c>
      <c r="H10" s="227"/>
      <c r="I10" s="225">
        <f t="shared" ref="I10:AF12" si="8">I3*I7</f>
        <v>110</v>
      </c>
      <c r="J10" s="225">
        <f t="shared" si="8"/>
        <v>420</v>
      </c>
      <c r="K10" s="225">
        <f t="shared" si="8"/>
        <v>420</v>
      </c>
      <c r="L10" s="225">
        <f t="shared" si="8"/>
        <v>800</v>
      </c>
      <c r="M10" s="225">
        <f t="shared" si="8"/>
        <v>1000</v>
      </c>
      <c r="N10" s="225">
        <f t="shared" si="8"/>
        <v>2500</v>
      </c>
      <c r="O10" s="225">
        <f t="shared" si="8"/>
        <v>2500</v>
      </c>
      <c r="P10" s="225">
        <f t="shared" si="8"/>
        <v>5000</v>
      </c>
      <c r="Q10" s="225">
        <f t="shared" si="8"/>
        <v>10000</v>
      </c>
      <c r="R10" s="225">
        <f t="shared" si="8"/>
        <v>15000</v>
      </c>
      <c r="S10" s="225">
        <f t="shared" si="8"/>
        <v>20000</v>
      </c>
      <c r="T10" s="225">
        <f t="shared" si="8"/>
        <v>25000</v>
      </c>
      <c r="U10" s="225">
        <f t="shared" si="8"/>
        <v>27500</v>
      </c>
      <c r="V10" s="225">
        <f t="shared" si="8"/>
        <v>30000</v>
      </c>
      <c r="W10" s="225">
        <f t="shared" si="8"/>
        <v>32500</v>
      </c>
      <c r="X10" s="225">
        <f t="shared" si="8"/>
        <v>35000</v>
      </c>
      <c r="Y10" s="225">
        <f t="shared" si="8"/>
        <v>37500</v>
      </c>
      <c r="Z10" s="225">
        <f t="shared" si="8"/>
        <v>40000</v>
      </c>
      <c r="AA10" s="225">
        <f t="shared" si="8"/>
        <v>42500</v>
      </c>
      <c r="AB10" s="225">
        <f t="shared" si="8"/>
        <v>50000</v>
      </c>
      <c r="AC10" s="225">
        <f t="shared" si="8"/>
        <v>52500</v>
      </c>
      <c r="AD10" s="225">
        <f t="shared" si="8"/>
        <v>60000</v>
      </c>
      <c r="AE10" s="225">
        <f t="shared" si="8"/>
        <v>60000</v>
      </c>
      <c r="AF10" s="227">
        <f t="shared" si="8"/>
        <v>60000</v>
      </c>
      <c r="AG10" s="263">
        <f>AVERAGE(I10:T10)</f>
        <v>6895.833333333333</v>
      </c>
      <c r="AH10" s="260">
        <f>AVERAGE(U10:AF10)</f>
        <v>43958.333333333336</v>
      </c>
      <c r="AI10" s="225" t="e">
        <f>AH10*(#REF!/#REF!)</f>
        <v>#REF!</v>
      </c>
      <c r="AJ10" s="225" t="e">
        <f>AI10*(#REF!/#REF!)</f>
        <v>#REF!</v>
      </c>
    </row>
    <row r="11" spans="1:37" s="225" customFormat="1" ht="12.75" hidden="1" x14ac:dyDescent="0.2">
      <c r="A11" s="541"/>
      <c r="B11" s="548"/>
      <c r="C11" s="207" t="str">
        <f>C4</f>
        <v>Theranos Locations</v>
      </c>
      <c r="D11" s="225">
        <v>0</v>
      </c>
      <c r="E11" s="225">
        <v>0</v>
      </c>
      <c r="F11" s="226">
        <v>0</v>
      </c>
      <c r="G11" s="225">
        <v>0</v>
      </c>
      <c r="H11" s="227"/>
      <c r="I11" s="225">
        <f t="shared" si="8"/>
        <v>0</v>
      </c>
      <c r="J11" s="225">
        <f t="shared" si="8"/>
        <v>0</v>
      </c>
      <c r="K11" s="225">
        <f t="shared" si="8"/>
        <v>0</v>
      </c>
      <c r="L11" s="225">
        <f t="shared" si="8"/>
        <v>0</v>
      </c>
      <c r="M11" s="225">
        <f t="shared" si="8"/>
        <v>0</v>
      </c>
      <c r="N11" s="225">
        <f t="shared" si="8"/>
        <v>0</v>
      </c>
      <c r="O11" s="225">
        <f t="shared" si="8"/>
        <v>0</v>
      </c>
      <c r="P11" s="225">
        <f t="shared" si="8"/>
        <v>0</v>
      </c>
      <c r="Q11" s="225">
        <f t="shared" si="8"/>
        <v>0</v>
      </c>
      <c r="R11" s="225">
        <f t="shared" si="8"/>
        <v>0</v>
      </c>
      <c r="S11" s="225">
        <f t="shared" si="8"/>
        <v>0</v>
      </c>
      <c r="T11" s="225">
        <f t="shared" si="8"/>
        <v>0</v>
      </c>
      <c r="U11" s="225">
        <f t="shared" si="8"/>
        <v>0</v>
      </c>
      <c r="V11" s="225">
        <f t="shared" si="8"/>
        <v>0</v>
      </c>
      <c r="W11" s="225">
        <f t="shared" si="8"/>
        <v>0</v>
      </c>
      <c r="X11" s="225">
        <f t="shared" si="8"/>
        <v>0</v>
      </c>
      <c r="Y11" s="225">
        <f t="shared" si="8"/>
        <v>0</v>
      </c>
      <c r="Z11" s="225">
        <f t="shared" si="8"/>
        <v>0</v>
      </c>
      <c r="AA11" s="225">
        <f t="shared" si="8"/>
        <v>0</v>
      </c>
      <c r="AB11" s="225">
        <f t="shared" si="8"/>
        <v>0</v>
      </c>
      <c r="AC11" s="225">
        <f t="shared" si="8"/>
        <v>0</v>
      </c>
      <c r="AD11" s="225">
        <f t="shared" si="8"/>
        <v>0</v>
      </c>
      <c r="AE11" s="225">
        <f t="shared" si="8"/>
        <v>0</v>
      </c>
      <c r="AF11" s="227">
        <f t="shared" si="8"/>
        <v>0</v>
      </c>
      <c r="AG11" s="263">
        <f t="shared" si="6"/>
        <v>0</v>
      </c>
      <c r="AH11" s="260">
        <f>SUM(U11:AF11)</f>
        <v>0</v>
      </c>
      <c r="AI11" s="225" t="e">
        <f>AH11*(#REF!/#REF!)</f>
        <v>#REF!</v>
      </c>
      <c r="AJ11" s="225" t="e">
        <f>AI11*(#REF!/#REF!)</f>
        <v>#REF!</v>
      </c>
    </row>
    <row r="12" spans="1:37" s="225" customFormat="1" ht="12.75" x14ac:dyDescent="0.2">
      <c r="A12" s="541"/>
      <c r="B12" s="548"/>
      <c r="C12" s="207" t="str">
        <f>C5</f>
        <v>Other Retail Pharmacies</v>
      </c>
      <c r="D12" s="225">
        <v>0</v>
      </c>
      <c r="E12" s="225">
        <v>0</v>
      </c>
      <c r="F12" s="226">
        <v>0</v>
      </c>
      <c r="G12" s="225">
        <v>0</v>
      </c>
      <c r="H12" s="227">
        <v>0</v>
      </c>
      <c r="I12" s="225">
        <f t="shared" si="8"/>
        <v>0</v>
      </c>
      <c r="J12" s="225">
        <f t="shared" si="8"/>
        <v>0</v>
      </c>
      <c r="K12" s="225">
        <f t="shared" si="8"/>
        <v>0</v>
      </c>
      <c r="L12" s="225">
        <f t="shared" si="8"/>
        <v>0</v>
      </c>
      <c r="M12" s="225">
        <f t="shared" si="8"/>
        <v>200</v>
      </c>
      <c r="N12" s="225">
        <f t="shared" si="8"/>
        <v>200</v>
      </c>
      <c r="O12" s="225">
        <f t="shared" si="8"/>
        <v>1800</v>
      </c>
      <c r="P12" s="225">
        <f t="shared" si="8"/>
        <v>1800</v>
      </c>
      <c r="Q12" s="225">
        <f t="shared" si="8"/>
        <v>1800</v>
      </c>
      <c r="R12" s="225">
        <f t="shared" si="8"/>
        <v>5000</v>
      </c>
      <c r="S12" s="225">
        <f t="shared" si="8"/>
        <v>5000</v>
      </c>
      <c r="T12" s="225">
        <f t="shared" si="8"/>
        <v>5000</v>
      </c>
      <c r="U12" s="225">
        <f t="shared" si="8"/>
        <v>7500</v>
      </c>
      <c r="V12" s="225">
        <f t="shared" si="8"/>
        <v>10000</v>
      </c>
      <c r="W12" s="225">
        <f t="shared" si="8"/>
        <v>12500</v>
      </c>
      <c r="X12" s="225">
        <f t="shared" si="8"/>
        <v>15000</v>
      </c>
      <c r="Y12" s="225">
        <f t="shared" si="8"/>
        <v>17500</v>
      </c>
      <c r="Z12" s="225">
        <f t="shared" si="8"/>
        <v>17500</v>
      </c>
      <c r="AA12" s="225">
        <f t="shared" si="8"/>
        <v>17500</v>
      </c>
      <c r="AB12" s="225">
        <f t="shared" si="8"/>
        <v>17500</v>
      </c>
      <c r="AC12" s="225">
        <f t="shared" si="8"/>
        <v>17500</v>
      </c>
      <c r="AD12" s="225">
        <f t="shared" si="8"/>
        <v>17500</v>
      </c>
      <c r="AE12" s="225">
        <f t="shared" si="8"/>
        <v>17500</v>
      </c>
      <c r="AF12" s="227">
        <f t="shared" si="8"/>
        <v>17500</v>
      </c>
      <c r="AG12" s="263">
        <f t="shared" si="6"/>
        <v>1733.3333333333333</v>
      </c>
      <c r="AH12" s="260">
        <f>AVERAGE(U12:AF12)</f>
        <v>15416.666666666666</v>
      </c>
      <c r="AI12" s="225" t="e">
        <f>AH12*(#REF!/#REF!)</f>
        <v>#REF!</v>
      </c>
      <c r="AJ12" s="225" t="e">
        <f>AI12*(#REF!/#REF!)</f>
        <v>#REF!</v>
      </c>
      <c r="AK12" s="208" t="s">
        <v>211</v>
      </c>
    </row>
    <row r="13" spans="1:37" s="233" customFormat="1" ht="13.5" thickBot="1" x14ac:dyDescent="0.25">
      <c r="A13" s="542"/>
      <c r="B13" s="229"/>
      <c r="C13" s="230" t="s">
        <v>59</v>
      </c>
      <c r="D13" s="231">
        <f>SUM(D10:D12)</f>
        <v>0</v>
      </c>
      <c r="E13" s="231">
        <f>SUM(E10:E12)</f>
        <v>0</v>
      </c>
      <c r="F13" s="230">
        <f>SUM(F10:F12)</f>
        <v>0</v>
      </c>
      <c r="G13" s="231">
        <f>SUM(G10:G12)</f>
        <v>0</v>
      </c>
      <c r="H13" s="232"/>
      <c r="I13" s="231">
        <f t="shared" ref="I13:AF13" si="9">SUM(I10:I12)</f>
        <v>110</v>
      </c>
      <c r="J13" s="231">
        <f t="shared" si="9"/>
        <v>420</v>
      </c>
      <c r="K13" s="231">
        <f t="shared" si="9"/>
        <v>420</v>
      </c>
      <c r="L13" s="231">
        <f t="shared" si="9"/>
        <v>800</v>
      </c>
      <c r="M13" s="231">
        <f t="shared" si="9"/>
        <v>1200</v>
      </c>
      <c r="N13" s="231">
        <f t="shared" si="9"/>
        <v>2700</v>
      </c>
      <c r="O13" s="231">
        <f t="shared" si="9"/>
        <v>4300</v>
      </c>
      <c r="P13" s="231">
        <f t="shared" si="9"/>
        <v>6800</v>
      </c>
      <c r="Q13" s="231">
        <f t="shared" si="9"/>
        <v>11800</v>
      </c>
      <c r="R13" s="231">
        <f t="shared" si="9"/>
        <v>20000</v>
      </c>
      <c r="S13" s="231">
        <f t="shared" si="9"/>
        <v>25000</v>
      </c>
      <c r="T13" s="231">
        <f t="shared" si="9"/>
        <v>30000</v>
      </c>
      <c r="U13" s="231">
        <f t="shared" si="9"/>
        <v>35000</v>
      </c>
      <c r="V13" s="231">
        <f t="shared" si="9"/>
        <v>40000</v>
      </c>
      <c r="W13" s="231">
        <f t="shared" si="9"/>
        <v>45000</v>
      </c>
      <c r="X13" s="231">
        <f t="shared" si="9"/>
        <v>50000</v>
      </c>
      <c r="Y13" s="231">
        <f t="shared" si="9"/>
        <v>55000</v>
      </c>
      <c r="Z13" s="231">
        <f t="shared" si="9"/>
        <v>57500</v>
      </c>
      <c r="AA13" s="231">
        <f t="shared" si="9"/>
        <v>60000</v>
      </c>
      <c r="AB13" s="231">
        <f t="shared" si="9"/>
        <v>67500</v>
      </c>
      <c r="AC13" s="231">
        <f t="shared" si="9"/>
        <v>70000</v>
      </c>
      <c r="AD13" s="231">
        <f t="shared" si="9"/>
        <v>77500</v>
      </c>
      <c r="AE13" s="231">
        <f t="shared" si="9"/>
        <v>77500</v>
      </c>
      <c r="AF13" s="232">
        <f t="shared" si="9"/>
        <v>77500</v>
      </c>
      <c r="AG13" s="262">
        <f>+AG18/12/30</f>
        <v>8629.1666666666661</v>
      </c>
      <c r="AH13" s="264">
        <f>+AH18/12/30</f>
        <v>59375</v>
      </c>
      <c r="AI13" s="222" t="e">
        <f>ROUND(SUM(AI10:AI12),-5)</f>
        <v>#REF!</v>
      </c>
      <c r="AJ13" s="222" t="e">
        <f>ROUND(SUM(AJ10:AJ12),-5)</f>
        <v>#REF!</v>
      </c>
    </row>
    <row r="14" spans="1:37" s="235" customFormat="1" ht="13.5" thickTop="1" x14ac:dyDescent="0.2">
      <c r="A14" s="74"/>
      <c r="B14" s="234"/>
      <c r="C14" s="218"/>
      <c r="D14" s="210"/>
      <c r="E14" s="210"/>
      <c r="F14" s="218"/>
      <c r="G14" s="210"/>
      <c r="H14" s="209"/>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09"/>
      <c r="AG14" s="210"/>
      <c r="AH14" s="209"/>
      <c r="AI14" s="210"/>
      <c r="AJ14" s="210"/>
    </row>
    <row r="15" spans="1:37" s="235" customFormat="1" ht="12.75" x14ac:dyDescent="0.2">
      <c r="A15" s="74"/>
      <c r="B15" s="234"/>
      <c r="C15" s="218"/>
      <c r="D15" s="210"/>
      <c r="E15" s="210"/>
      <c r="F15" s="218"/>
      <c r="G15" s="210"/>
      <c r="H15" s="209"/>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09"/>
      <c r="AG15" s="210"/>
      <c r="AH15" s="209"/>
      <c r="AI15" s="210"/>
      <c r="AJ15" s="210"/>
    </row>
    <row r="16" spans="1:37" s="235" customFormat="1" ht="12.75" customHeight="1" x14ac:dyDescent="0.2">
      <c r="A16" s="549" t="s">
        <v>60</v>
      </c>
      <c r="B16" s="549"/>
      <c r="C16" s="549"/>
      <c r="D16" s="210"/>
      <c r="E16" s="210"/>
      <c r="F16" s="218"/>
      <c r="G16" s="210"/>
      <c r="H16" s="209"/>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09"/>
      <c r="AG16" s="210"/>
      <c r="AH16" s="209"/>
      <c r="AI16" s="210"/>
      <c r="AJ16" s="210"/>
    </row>
    <row r="17" spans="1:36" s="235" customFormat="1" ht="12.75" x14ac:dyDescent="0.2">
      <c r="A17" s="74"/>
      <c r="B17" s="537" t="s">
        <v>61</v>
      </c>
      <c r="C17" s="218" t="s">
        <v>62</v>
      </c>
      <c r="D17" s="210"/>
      <c r="E17" s="210"/>
      <c r="F17" s="218"/>
      <c r="G17" s="210"/>
      <c r="H17" s="209"/>
      <c r="I17" s="210">
        <f t="shared" ref="I17:AF17" si="10">I6</f>
        <v>11</v>
      </c>
      <c r="J17" s="210">
        <f t="shared" si="10"/>
        <v>21</v>
      </c>
      <c r="K17" s="210">
        <f t="shared" si="10"/>
        <v>21</v>
      </c>
      <c r="L17" s="210">
        <f t="shared" si="10"/>
        <v>40</v>
      </c>
      <c r="M17" s="210">
        <f t="shared" si="10"/>
        <v>50</v>
      </c>
      <c r="N17" s="210">
        <f t="shared" si="10"/>
        <v>110</v>
      </c>
      <c r="O17" s="210">
        <f t="shared" si="10"/>
        <v>190</v>
      </c>
      <c r="P17" s="210">
        <f t="shared" si="10"/>
        <v>290</v>
      </c>
      <c r="Q17" s="210">
        <f t="shared" si="10"/>
        <v>490</v>
      </c>
      <c r="R17" s="210">
        <f t="shared" si="10"/>
        <v>800</v>
      </c>
      <c r="S17" s="210">
        <f t="shared" si="10"/>
        <v>1000</v>
      </c>
      <c r="T17" s="210">
        <f t="shared" si="10"/>
        <v>1200</v>
      </c>
      <c r="U17" s="210">
        <f t="shared" si="10"/>
        <v>1400</v>
      </c>
      <c r="V17" s="210">
        <f t="shared" si="10"/>
        <v>1600</v>
      </c>
      <c r="W17" s="210">
        <f t="shared" si="10"/>
        <v>1800</v>
      </c>
      <c r="X17" s="210">
        <f t="shared" si="10"/>
        <v>2000</v>
      </c>
      <c r="Y17" s="210">
        <f t="shared" si="10"/>
        <v>2200</v>
      </c>
      <c r="Z17" s="210">
        <f t="shared" si="10"/>
        <v>2300</v>
      </c>
      <c r="AA17" s="210">
        <f t="shared" si="10"/>
        <v>2400</v>
      </c>
      <c r="AB17" s="210">
        <f t="shared" si="10"/>
        <v>2700</v>
      </c>
      <c r="AC17" s="210">
        <f t="shared" si="10"/>
        <v>2800</v>
      </c>
      <c r="AD17" s="210">
        <f t="shared" si="10"/>
        <v>3100</v>
      </c>
      <c r="AE17" s="210">
        <f t="shared" si="10"/>
        <v>3100</v>
      </c>
      <c r="AF17" s="209">
        <f t="shared" si="10"/>
        <v>3100</v>
      </c>
      <c r="AG17" s="210">
        <f>T17</f>
        <v>1200</v>
      </c>
      <c r="AH17" s="72">
        <f>AF17</f>
        <v>3100</v>
      </c>
      <c r="AI17" s="210"/>
      <c r="AJ17" s="210"/>
    </row>
    <row r="18" spans="1:36" s="235" customFormat="1" ht="12.75" x14ac:dyDescent="0.2">
      <c r="A18" s="74"/>
      <c r="B18" s="537"/>
      <c r="C18" s="218" t="s">
        <v>63</v>
      </c>
      <c r="D18" s="210"/>
      <c r="E18" s="210"/>
      <c r="F18" s="218"/>
      <c r="G18" s="210"/>
      <c r="H18" s="209"/>
      <c r="I18" s="210">
        <f>I13*30</f>
        <v>3300</v>
      </c>
      <c r="J18" s="210">
        <f t="shared" ref="J18:AF18" si="11">J13*30</f>
        <v>12600</v>
      </c>
      <c r="K18" s="210">
        <f t="shared" si="11"/>
        <v>12600</v>
      </c>
      <c r="L18" s="210">
        <f t="shared" si="11"/>
        <v>24000</v>
      </c>
      <c r="M18" s="210">
        <f t="shared" si="11"/>
        <v>36000</v>
      </c>
      <c r="N18" s="210">
        <f t="shared" si="11"/>
        <v>81000</v>
      </c>
      <c r="O18" s="210">
        <f t="shared" si="11"/>
        <v>129000</v>
      </c>
      <c r="P18" s="210">
        <f t="shared" si="11"/>
        <v>204000</v>
      </c>
      <c r="Q18" s="210">
        <f t="shared" si="11"/>
        <v>354000</v>
      </c>
      <c r="R18" s="210">
        <f t="shared" si="11"/>
        <v>600000</v>
      </c>
      <c r="S18" s="210">
        <f t="shared" si="11"/>
        <v>750000</v>
      </c>
      <c r="T18" s="210">
        <f t="shared" si="11"/>
        <v>900000</v>
      </c>
      <c r="U18" s="210">
        <f t="shared" si="11"/>
        <v>1050000</v>
      </c>
      <c r="V18" s="210">
        <f t="shared" si="11"/>
        <v>1200000</v>
      </c>
      <c r="W18" s="210">
        <f t="shared" si="11"/>
        <v>1350000</v>
      </c>
      <c r="X18" s="210">
        <f t="shared" si="11"/>
        <v>1500000</v>
      </c>
      <c r="Y18" s="210">
        <f t="shared" si="11"/>
        <v>1650000</v>
      </c>
      <c r="Z18" s="210">
        <f t="shared" si="11"/>
        <v>1725000</v>
      </c>
      <c r="AA18" s="210">
        <f t="shared" si="11"/>
        <v>1800000</v>
      </c>
      <c r="AB18" s="210">
        <f t="shared" si="11"/>
        <v>2025000</v>
      </c>
      <c r="AC18" s="210">
        <f t="shared" si="11"/>
        <v>2100000</v>
      </c>
      <c r="AD18" s="210">
        <f t="shared" si="11"/>
        <v>2325000</v>
      </c>
      <c r="AE18" s="210">
        <f t="shared" si="11"/>
        <v>2325000</v>
      </c>
      <c r="AF18" s="209">
        <f t="shared" si="11"/>
        <v>2325000</v>
      </c>
      <c r="AG18" s="236">
        <f>SUM(I18:T18)</f>
        <v>3106500</v>
      </c>
      <c r="AH18" s="228">
        <f>SUM(U18:AF18)</f>
        <v>21375000</v>
      </c>
      <c r="AI18" s="210"/>
      <c r="AJ18" s="210"/>
    </row>
    <row r="19" spans="1:36" s="239" customFormat="1" ht="12.75" x14ac:dyDescent="0.2">
      <c r="A19" s="237"/>
      <c r="B19" s="537"/>
      <c r="C19" s="166" t="s">
        <v>64</v>
      </c>
      <c r="D19" s="133"/>
      <c r="E19" s="133"/>
      <c r="F19" s="166"/>
      <c r="G19" s="133"/>
      <c r="H19" s="238"/>
      <c r="I19" s="133" t="e">
        <f t="shared" ref="I19:AF19" si="12">I18*RX_SALES_PRICE</f>
        <v>#REF!</v>
      </c>
      <c r="J19" s="133" t="e">
        <f t="shared" si="12"/>
        <v>#REF!</v>
      </c>
      <c r="K19" s="133" t="e">
        <f t="shared" si="12"/>
        <v>#REF!</v>
      </c>
      <c r="L19" s="133" t="e">
        <f t="shared" si="12"/>
        <v>#REF!</v>
      </c>
      <c r="M19" s="133" t="e">
        <f t="shared" si="12"/>
        <v>#REF!</v>
      </c>
      <c r="N19" s="133" t="e">
        <f t="shared" si="12"/>
        <v>#REF!</v>
      </c>
      <c r="O19" s="133" t="e">
        <f t="shared" si="12"/>
        <v>#REF!</v>
      </c>
      <c r="P19" s="133" t="e">
        <f t="shared" si="12"/>
        <v>#REF!</v>
      </c>
      <c r="Q19" s="133" t="e">
        <f t="shared" si="12"/>
        <v>#REF!</v>
      </c>
      <c r="R19" s="133" t="e">
        <f t="shared" si="12"/>
        <v>#REF!</v>
      </c>
      <c r="S19" s="133" t="e">
        <f t="shared" si="12"/>
        <v>#REF!</v>
      </c>
      <c r="T19" s="133" t="e">
        <f t="shared" si="12"/>
        <v>#REF!</v>
      </c>
      <c r="U19" s="133" t="e">
        <f t="shared" si="12"/>
        <v>#REF!</v>
      </c>
      <c r="V19" s="133" t="e">
        <f t="shared" si="12"/>
        <v>#REF!</v>
      </c>
      <c r="W19" s="133" t="e">
        <f t="shared" si="12"/>
        <v>#REF!</v>
      </c>
      <c r="X19" s="133" t="e">
        <f t="shared" si="12"/>
        <v>#REF!</v>
      </c>
      <c r="Y19" s="133" t="e">
        <f t="shared" si="12"/>
        <v>#REF!</v>
      </c>
      <c r="Z19" s="133" t="e">
        <f t="shared" si="12"/>
        <v>#REF!</v>
      </c>
      <c r="AA19" s="133" t="e">
        <f t="shared" si="12"/>
        <v>#REF!</v>
      </c>
      <c r="AB19" s="133" t="e">
        <f t="shared" si="12"/>
        <v>#REF!</v>
      </c>
      <c r="AC19" s="133" t="e">
        <f t="shared" si="12"/>
        <v>#REF!</v>
      </c>
      <c r="AD19" s="133" t="e">
        <f t="shared" si="12"/>
        <v>#REF!</v>
      </c>
      <c r="AE19" s="133" t="e">
        <f t="shared" si="12"/>
        <v>#REF!</v>
      </c>
      <c r="AF19" s="238" t="e">
        <f t="shared" si="12"/>
        <v>#REF!</v>
      </c>
      <c r="AG19" s="132" t="e">
        <f>SUM(I19:T19)</f>
        <v>#REF!</v>
      </c>
      <c r="AH19" s="160" t="e">
        <f>SUM(U19:AF19)</f>
        <v>#REF!</v>
      </c>
      <c r="AI19" s="133"/>
      <c r="AJ19" s="133"/>
    </row>
    <row r="20" spans="1:36" s="235" customFormat="1" ht="12.75" x14ac:dyDescent="0.2">
      <c r="A20" s="74"/>
      <c r="B20" s="240"/>
      <c r="C20" s="218"/>
      <c r="D20" s="210"/>
      <c r="E20" s="210"/>
      <c r="F20" s="218"/>
      <c r="G20" s="210"/>
      <c r="H20" s="209"/>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09"/>
      <c r="AG20" s="210"/>
      <c r="AH20" s="209"/>
      <c r="AI20" s="210"/>
      <c r="AJ20" s="210"/>
    </row>
    <row r="21" spans="1:36" s="235" customFormat="1" ht="12.75" x14ac:dyDescent="0.2">
      <c r="A21" s="74"/>
      <c r="B21" s="240"/>
      <c r="C21" s="218"/>
      <c r="D21" s="210"/>
      <c r="E21" s="210"/>
      <c r="F21" s="218"/>
      <c r="G21" s="210"/>
      <c r="H21" s="209"/>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09"/>
      <c r="AG21" s="210"/>
      <c r="AH21" s="209"/>
      <c r="AI21" s="210"/>
      <c r="AJ21" s="210"/>
    </row>
    <row r="22" spans="1:36" s="208" customFormat="1" ht="12.75" x14ac:dyDescent="0.2">
      <c r="B22" s="537" t="s">
        <v>65</v>
      </c>
      <c r="C22" s="207" t="s">
        <v>66</v>
      </c>
      <c r="D22" s="208">
        <v>0</v>
      </c>
      <c r="E22" s="208">
        <v>0</v>
      </c>
      <c r="F22" s="208">
        <v>0</v>
      </c>
      <c r="G22" s="208">
        <v>0</v>
      </c>
      <c r="H22" s="209">
        <v>0</v>
      </c>
      <c r="I22" s="208">
        <v>0</v>
      </c>
      <c r="J22" s="208">
        <v>0</v>
      </c>
      <c r="K22" s="208">
        <v>40</v>
      </c>
      <c r="L22" s="208">
        <v>60</v>
      </c>
      <c r="M22" s="208">
        <v>100</v>
      </c>
      <c r="N22" s="208">
        <f>M22+100</f>
        <v>200</v>
      </c>
      <c r="O22" s="208">
        <f t="shared" ref="O22:P22" si="13">N22+100</f>
        <v>300</v>
      </c>
      <c r="P22" s="208">
        <f t="shared" si="13"/>
        <v>400</v>
      </c>
      <c r="Q22" s="208">
        <f>P22+200</f>
        <v>600</v>
      </c>
      <c r="R22" s="208">
        <f>Q22+200</f>
        <v>800</v>
      </c>
      <c r="S22" s="208">
        <f>R22+200</f>
        <v>1000</v>
      </c>
      <c r="T22" s="208">
        <f>S22+200</f>
        <v>1200</v>
      </c>
      <c r="U22" s="208">
        <f>T22+100</f>
        <v>1300</v>
      </c>
      <c r="V22" s="208">
        <f t="shared" ref="V22:AF22" si="14">U22+100</f>
        <v>1400</v>
      </c>
      <c r="W22" s="208">
        <f t="shared" si="14"/>
        <v>1500</v>
      </c>
      <c r="X22" s="208">
        <f t="shared" si="14"/>
        <v>1600</v>
      </c>
      <c r="Y22" s="208">
        <f t="shared" si="14"/>
        <v>1700</v>
      </c>
      <c r="Z22" s="208">
        <f t="shared" si="14"/>
        <v>1800</v>
      </c>
      <c r="AA22" s="208">
        <f t="shared" si="14"/>
        <v>1900</v>
      </c>
      <c r="AB22" s="208">
        <f t="shared" si="14"/>
        <v>2000</v>
      </c>
      <c r="AC22" s="208">
        <f t="shared" si="14"/>
        <v>2100</v>
      </c>
      <c r="AD22" s="208">
        <f t="shared" si="14"/>
        <v>2200</v>
      </c>
      <c r="AE22" s="208">
        <f t="shared" si="14"/>
        <v>2300</v>
      </c>
      <c r="AF22" s="209">
        <f t="shared" si="14"/>
        <v>2400</v>
      </c>
      <c r="AG22" s="210">
        <f>T22</f>
        <v>1200</v>
      </c>
      <c r="AH22" s="72">
        <f>AF22</f>
        <v>2400</v>
      </c>
      <c r="AI22" s="208" t="e">
        <f>AH22*(#REF!/#REF!)</f>
        <v>#REF!</v>
      </c>
      <c r="AJ22" s="208" t="e">
        <f>AI22*(#REF!/#REF!)</f>
        <v>#REF!</v>
      </c>
    </row>
    <row r="23" spans="1:36" s="208" customFormat="1" ht="12.75" x14ac:dyDescent="0.2">
      <c r="B23" s="537"/>
      <c r="C23" s="207" t="s">
        <v>67</v>
      </c>
      <c r="H23" s="209"/>
      <c r="I23" s="208">
        <v>0</v>
      </c>
      <c r="J23" s="208">
        <v>0</v>
      </c>
      <c r="K23" s="208">
        <f>K22*22*20</f>
        <v>17600</v>
      </c>
      <c r="L23" s="208">
        <f>L22*22*20</f>
        <v>26400</v>
      </c>
      <c r="M23" s="208">
        <f>M22*22*20</f>
        <v>44000</v>
      </c>
      <c r="N23" s="208">
        <f>N22*22*20</f>
        <v>88000</v>
      </c>
      <c r="O23" s="208">
        <f t="shared" ref="O23:AF23" si="15">O22*22*20</f>
        <v>132000</v>
      </c>
      <c r="P23" s="208">
        <f t="shared" si="15"/>
        <v>176000</v>
      </c>
      <c r="Q23" s="208">
        <f t="shared" si="15"/>
        <v>264000</v>
      </c>
      <c r="R23" s="208">
        <f t="shared" si="15"/>
        <v>352000</v>
      </c>
      <c r="S23" s="208">
        <f t="shared" si="15"/>
        <v>440000</v>
      </c>
      <c r="T23" s="208">
        <f t="shared" si="15"/>
        <v>528000</v>
      </c>
      <c r="U23" s="208">
        <f t="shared" si="15"/>
        <v>572000</v>
      </c>
      <c r="V23" s="208">
        <f t="shared" si="15"/>
        <v>616000</v>
      </c>
      <c r="W23" s="208">
        <f t="shared" si="15"/>
        <v>660000</v>
      </c>
      <c r="X23" s="208">
        <f t="shared" si="15"/>
        <v>704000</v>
      </c>
      <c r="Y23" s="208">
        <f t="shared" si="15"/>
        <v>748000</v>
      </c>
      <c r="Z23" s="208">
        <f t="shared" si="15"/>
        <v>792000</v>
      </c>
      <c r="AA23" s="208">
        <f t="shared" si="15"/>
        <v>836000</v>
      </c>
      <c r="AB23" s="208">
        <f t="shared" si="15"/>
        <v>880000</v>
      </c>
      <c r="AC23" s="208">
        <f t="shared" si="15"/>
        <v>924000</v>
      </c>
      <c r="AD23" s="208">
        <f t="shared" si="15"/>
        <v>968000</v>
      </c>
      <c r="AE23" s="208">
        <f t="shared" si="15"/>
        <v>1012000</v>
      </c>
      <c r="AF23" s="209">
        <f t="shared" si="15"/>
        <v>1056000</v>
      </c>
      <c r="AG23" s="236">
        <f>SUM(I23:T23)</f>
        <v>2068000</v>
      </c>
      <c r="AH23" s="228">
        <f>SUM(U23:AF23)</f>
        <v>9768000</v>
      </c>
    </row>
    <row r="24" spans="1:36" s="208" customFormat="1" ht="12.75" x14ac:dyDescent="0.2">
      <c r="B24" s="537"/>
      <c r="C24" s="207" t="s">
        <v>64</v>
      </c>
      <c r="H24" s="209"/>
      <c r="I24" s="241">
        <v>0</v>
      </c>
      <c r="J24" s="241">
        <v>0</v>
      </c>
      <c r="K24" s="241" t="e">
        <f t="shared" ref="K24:AF24" si="16">K23*RX_SALES_PRICE</f>
        <v>#REF!</v>
      </c>
      <c r="L24" s="241" t="e">
        <f t="shared" si="16"/>
        <v>#REF!</v>
      </c>
      <c r="M24" s="241" t="e">
        <f t="shared" si="16"/>
        <v>#REF!</v>
      </c>
      <c r="N24" s="241" t="e">
        <f t="shared" si="16"/>
        <v>#REF!</v>
      </c>
      <c r="O24" s="241" t="e">
        <f t="shared" si="16"/>
        <v>#REF!</v>
      </c>
      <c r="P24" s="241" t="e">
        <f t="shared" si="16"/>
        <v>#REF!</v>
      </c>
      <c r="Q24" s="241" t="e">
        <f t="shared" si="16"/>
        <v>#REF!</v>
      </c>
      <c r="R24" s="241" t="e">
        <f t="shared" si="16"/>
        <v>#REF!</v>
      </c>
      <c r="S24" s="241" t="e">
        <f t="shared" si="16"/>
        <v>#REF!</v>
      </c>
      <c r="T24" s="241" t="e">
        <f t="shared" si="16"/>
        <v>#REF!</v>
      </c>
      <c r="U24" s="241" t="e">
        <f t="shared" si="16"/>
        <v>#REF!</v>
      </c>
      <c r="V24" s="241" t="e">
        <f t="shared" si="16"/>
        <v>#REF!</v>
      </c>
      <c r="W24" s="241" t="e">
        <f t="shared" si="16"/>
        <v>#REF!</v>
      </c>
      <c r="X24" s="241" t="e">
        <f t="shared" si="16"/>
        <v>#REF!</v>
      </c>
      <c r="Y24" s="241" t="e">
        <f t="shared" si="16"/>
        <v>#REF!</v>
      </c>
      <c r="Z24" s="241" t="e">
        <f t="shared" si="16"/>
        <v>#REF!</v>
      </c>
      <c r="AA24" s="241" t="e">
        <f t="shared" si="16"/>
        <v>#REF!</v>
      </c>
      <c r="AB24" s="241" t="e">
        <f t="shared" si="16"/>
        <v>#REF!</v>
      </c>
      <c r="AC24" s="241" t="e">
        <f t="shared" si="16"/>
        <v>#REF!</v>
      </c>
      <c r="AD24" s="241" t="e">
        <f t="shared" si="16"/>
        <v>#REF!</v>
      </c>
      <c r="AE24" s="241" t="e">
        <f t="shared" si="16"/>
        <v>#REF!</v>
      </c>
      <c r="AF24" s="238" t="e">
        <f t="shared" si="16"/>
        <v>#REF!</v>
      </c>
      <c r="AG24" s="132" t="e">
        <f>SUM(I24:T24)</f>
        <v>#REF!</v>
      </c>
      <c r="AH24" s="160" t="e">
        <f>SUM(U24:AF24)</f>
        <v>#REF!</v>
      </c>
    </row>
    <row r="25" spans="1:36" s="208" customFormat="1" ht="12.75" x14ac:dyDescent="0.2">
      <c r="B25" s="242"/>
      <c r="C25" s="207"/>
      <c r="H25" s="209"/>
      <c r="AC25" s="210"/>
      <c r="AD25" s="210"/>
      <c r="AF25" s="209"/>
      <c r="AG25" s="236"/>
      <c r="AH25" s="228"/>
    </row>
    <row r="26" spans="1:36" s="208" customFormat="1" ht="12.75" x14ac:dyDescent="0.2">
      <c r="B26" s="538" t="s">
        <v>68</v>
      </c>
      <c r="C26" s="207" t="s">
        <v>69</v>
      </c>
      <c r="D26" s="208">
        <v>0</v>
      </c>
      <c r="E26" s="208">
        <v>0</v>
      </c>
      <c r="F26" s="208">
        <v>0</v>
      </c>
      <c r="G26" s="208">
        <v>0</v>
      </c>
      <c r="H26" s="209">
        <v>0</v>
      </c>
      <c r="I26" s="208">
        <v>0</v>
      </c>
      <c r="J26" s="208">
        <v>0</v>
      </c>
      <c r="K26" s="208">
        <v>0</v>
      </c>
      <c r="L26" s="208">
        <v>10</v>
      </c>
      <c r="M26" s="208">
        <v>20</v>
      </c>
      <c r="N26" s="208">
        <v>50</v>
      </c>
      <c r="O26" s="208">
        <f>N26+20</f>
        <v>70</v>
      </c>
      <c r="P26" s="208">
        <f t="shared" ref="P26:AF26" si="17">O26+20</f>
        <v>90</v>
      </c>
      <c r="Q26" s="208">
        <f t="shared" si="17"/>
        <v>110</v>
      </c>
      <c r="R26" s="208">
        <f t="shared" si="17"/>
        <v>130</v>
      </c>
      <c r="S26" s="208">
        <f t="shared" si="17"/>
        <v>150</v>
      </c>
      <c r="T26" s="208">
        <f t="shared" si="17"/>
        <v>170</v>
      </c>
      <c r="U26" s="208">
        <f t="shared" si="17"/>
        <v>190</v>
      </c>
      <c r="V26" s="208">
        <f t="shared" si="17"/>
        <v>210</v>
      </c>
      <c r="W26" s="208">
        <f t="shared" si="17"/>
        <v>230</v>
      </c>
      <c r="X26" s="208">
        <f t="shared" si="17"/>
        <v>250</v>
      </c>
      <c r="Y26" s="208">
        <f t="shared" si="17"/>
        <v>270</v>
      </c>
      <c r="Z26" s="208">
        <f t="shared" si="17"/>
        <v>290</v>
      </c>
      <c r="AA26" s="208">
        <f t="shared" si="17"/>
        <v>310</v>
      </c>
      <c r="AB26" s="208">
        <f t="shared" si="17"/>
        <v>330</v>
      </c>
      <c r="AC26" s="208">
        <f t="shared" si="17"/>
        <v>350</v>
      </c>
      <c r="AD26" s="208">
        <f t="shared" si="17"/>
        <v>370</v>
      </c>
      <c r="AE26" s="208">
        <f t="shared" si="17"/>
        <v>390</v>
      </c>
      <c r="AF26" s="209">
        <f t="shared" si="17"/>
        <v>410</v>
      </c>
      <c r="AG26" s="210">
        <f>T26</f>
        <v>170</v>
      </c>
      <c r="AH26" s="72">
        <f>AF26</f>
        <v>410</v>
      </c>
    </row>
    <row r="27" spans="1:36" s="208" customFormat="1" ht="12.75" x14ac:dyDescent="0.2">
      <c r="B27" s="538"/>
      <c r="C27" s="207" t="s">
        <v>70</v>
      </c>
      <c r="H27" s="209"/>
      <c r="I27" s="208">
        <v>0</v>
      </c>
      <c r="J27" s="208">
        <v>0</v>
      </c>
      <c r="K27" s="208">
        <v>0</v>
      </c>
      <c r="L27" s="208">
        <f t="shared" ref="L27:AF27" si="18">L26*25*50</f>
        <v>12500</v>
      </c>
      <c r="M27" s="208">
        <f t="shared" si="18"/>
        <v>25000</v>
      </c>
      <c r="N27" s="208">
        <f t="shared" si="18"/>
        <v>62500</v>
      </c>
      <c r="O27" s="208">
        <f t="shared" si="18"/>
        <v>87500</v>
      </c>
      <c r="P27" s="208">
        <f t="shared" si="18"/>
        <v>112500</v>
      </c>
      <c r="Q27" s="208">
        <f t="shared" si="18"/>
        <v>137500</v>
      </c>
      <c r="R27" s="208">
        <f t="shared" si="18"/>
        <v>162500</v>
      </c>
      <c r="S27" s="208">
        <f t="shared" si="18"/>
        <v>187500</v>
      </c>
      <c r="T27" s="208">
        <f t="shared" si="18"/>
        <v>212500</v>
      </c>
      <c r="U27" s="208">
        <f t="shared" si="18"/>
        <v>237500</v>
      </c>
      <c r="V27" s="208">
        <f t="shared" si="18"/>
        <v>262500</v>
      </c>
      <c r="W27" s="208">
        <f t="shared" si="18"/>
        <v>287500</v>
      </c>
      <c r="X27" s="208">
        <f t="shared" si="18"/>
        <v>312500</v>
      </c>
      <c r="Y27" s="208">
        <f t="shared" si="18"/>
        <v>337500</v>
      </c>
      <c r="Z27" s="208">
        <f t="shared" si="18"/>
        <v>362500</v>
      </c>
      <c r="AA27" s="208">
        <f t="shared" si="18"/>
        <v>387500</v>
      </c>
      <c r="AB27" s="208">
        <f t="shared" si="18"/>
        <v>412500</v>
      </c>
      <c r="AC27" s="208">
        <f t="shared" si="18"/>
        <v>437500</v>
      </c>
      <c r="AD27" s="208">
        <f t="shared" si="18"/>
        <v>462500</v>
      </c>
      <c r="AE27" s="208">
        <f t="shared" si="18"/>
        <v>487500</v>
      </c>
      <c r="AF27" s="209">
        <f t="shared" si="18"/>
        <v>512500</v>
      </c>
      <c r="AG27" s="236">
        <f>SUM(I27:T27)</f>
        <v>1000000</v>
      </c>
      <c r="AH27" s="228">
        <f>SUM(U27:AF27)</f>
        <v>4500000</v>
      </c>
    </row>
    <row r="28" spans="1:36" s="208" customFormat="1" ht="12.75" x14ac:dyDescent="0.2">
      <c r="B28" s="538"/>
      <c r="C28" s="207" t="s">
        <v>64</v>
      </c>
      <c r="H28" s="209"/>
      <c r="I28" s="241">
        <v>0</v>
      </c>
      <c r="J28" s="241">
        <v>0</v>
      </c>
      <c r="K28" s="241">
        <v>0</v>
      </c>
      <c r="L28" s="241" t="e">
        <f t="shared" ref="L28:AF28" si="19">L27*ICU_ER_PANEL_PRICE/2</f>
        <v>#REF!</v>
      </c>
      <c r="M28" s="241" t="e">
        <f t="shared" si="19"/>
        <v>#REF!</v>
      </c>
      <c r="N28" s="241" t="e">
        <f t="shared" si="19"/>
        <v>#REF!</v>
      </c>
      <c r="O28" s="241" t="e">
        <f t="shared" si="19"/>
        <v>#REF!</v>
      </c>
      <c r="P28" s="241" t="e">
        <f t="shared" si="19"/>
        <v>#REF!</v>
      </c>
      <c r="Q28" s="241" t="e">
        <f t="shared" si="19"/>
        <v>#REF!</v>
      </c>
      <c r="R28" s="241" t="e">
        <f t="shared" si="19"/>
        <v>#REF!</v>
      </c>
      <c r="S28" s="241" t="e">
        <f t="shared" si="19"/>
        <v>#REF!</v>
      </c>
      <c r="T28" s="241" t="e">
        <f t="shared" si="19"/>
        <v>#REF!</v>
      </c>
      <c r="U28" s="241" t="e">
        <f t="shared" si="19"/>
        <v>#REF!</v>
      </c>
      <c r="V28" s="241" t="e">
        <f t="shared" si="19"/>
        <v>#REF!</v>
      </c>
      <c r="W28" s="241" t="e">
        <f t="shared" si="19"/>
        <v>#REF!</v>
      </c>
      <c r="X28" s="241" t="e">
        <f t="shared" si="19"/>
        <v>#REF!</v>
      </c>
      <c r="Y28" s="241" t="e">
        <f t="shared" si="19"/>
        <v>#REF!</v>
      </c>
      <c r="Z28" s="241" t="e">
        <f t="shared" si="19"/>
        <v>#REF!</v>
      </c>
      <c r="AA28" s="241" t="e">
        <f t="shared" si="19"/>
        <v>#REF!</v>
      </c>
      <c r="AB28" s="241" t="e">
        <f t="shared" si="19"/>
        <v>#REF!</v>
      </c>
      <c r="AC28" s="241" t="e">
        <f t="shared" si="19"/>
        <v>#REF!</v>
      </c>
      <c r="AD28" s="241" t="e">
        <f t="shared" si="19"/>
        <v>#REF!</v>
      </c>
      <c r="AE28" s="241" t="e">
        <f t="shared" si="19"/>
        <v>#REF!</v>
      </c>
      <c r="AF28" s="238" t="e">
        <f t="shared" si="19"/>
        <v>#REF!</v>
      </c>
      <c r="AG28" s="132" t="e">
        <f>SUM(I28:T28)</f>
        <v>#REF!</v>
      </c>
      <c r="AH28" s="160" t="e">
        <f>SUM(U28:AF28)</f>
        <v>#REF!</v>
      </c>
    </row>
    <row r="29" spans="1:36" s="208" customFormat="1" ht="12.75" x14ac:dyDescent="0.2">
      <c r="B29" s="242"/>
      <c r="C29" s="207"/>
      <c r="H29" s="209"/>
      <c r="T29" s="243"/>
      <c r="AC29" s="210"/>
      <c r="AD29" s="210"/>
      <c r="AF29" s="209"/>
      <c r="AG29" s="236"/>
      <c r="AH29" s="228"/>
    </row>
    <row r="30" spans="1:36" s="208" customFormat="1" ht="12.75" x14ac:dyDescent="0.2">
      <c r="B30" s="539" t="s">
        <v>71</v>
      </c>
      <c r="C30" s="207" t="s">
        <v>69</v>
      </c>
      <c r="H30" s="209"/>
      <c r="I30" s="208">
        <v>0</v>
      </c>
      <c r="J30" s="208">
        <v>0</v>
      </c>
      <c r="K30" s="208">
        <v>0</v>
      </c>
      <c r="L30" s="208">
        <v>0</v>
      </c>
      <c r="M30" s="208">
        <v>0</v>
      </c>
      <c r="N30" s="208">
        <v>0</v>
      </c>
      <c r="O30" s="208">
        <v>0</v>
      </c>
      <c r="P30" s="208">
        <v>0</v>
      </c>
      <c r="Q30" s="208">
        <v>0</v>
      </c>
      <c r="R30" s="208">
        <v>0</v>
      </c>
      <c r="S30" s="208">
        <v>0</v>
      </c>
      <c r="T30" s="208">
        <v>0</v>
      </c>
      <c r="U30" s="208">
        <f t="shared" ref="U30:AF30" si="20">I26</f>
        <v>0</v>
      </c>
      <c r="V30" s="208">
        <f t="shared" si="20"/>
        <v>0</v>
      </c>
      <c r="W30" s="208">
        <f t="shared" si="20"/>
        <v>0</v>
      </c>
      <c r="X30" s="208">
        <f t="shared" si="20"/>
        <v>10</v>
      </c>
      <c r="Y30" s="208">
        <f t="shared" si="20"/>
        <v>20</v>
      </c>
      <c r="Z30" s="208">
        <f t="shared" si="20"/>
        <v>50</v>
      </c>
      <c r="AA30" s="208">
        <f t="shared" si="20"/>
        <v>70</v>
      </c>
      <c r="AB30" s="208">
        <f t="shared" si="20"/>
        <v>90</v>
      </c>
      <c r="AC30" s="208">
        <f t="shared" si="20"/>
        <v>110</v>
      </c>
      <c r="AD30" s="208">
        <f t="shared" si="20"/>
        <v>130</v>
      </c>
      <c r="AE30" s="208">
        <f t="shared" si="20"/>
        <v>150</v>
      </c>
      <c r="AF30" s="209">
        <f t="shared" si="20"/>
        <v>170</v>
      </c>
      <c r="AG30" s="210">
        <f>T30</f>
        <v>0</v>
      </c>
      <c r="AH30" s="72">
        <f>AF30</f>
        <v>170</v>
      </c>
      <c r="AI30" s="208">
        <f>Z26</f>
        <v>290</v>
      </c>
    </row>
    <row r="31" spans="1:36" s="208" customFormat="1" ht="12.75" x14ac:dyDescent="0.2">
      <c r="B31" s="539"/>
      <c r="C31" s="207" t="s">
        <v>67</v>
      </c>
      <c r="H31" s="209"/>
      <c r="I31" s="208">
        <v>0</v>
      </c>
      <c r="J31" s="208">
        <v>0</v>
      </c>
      <c r="K31" s="208">
        <v>0</v>
      </c>
      <c r="L31" s="208">
        <v>0</v>
      </c>
      <c r="M31" s="208">
        <v>0</v>
      </c>
      <c r="N31" s="208">
        <v>0</v>
      </c>
      <c r="O31" s="208">
        <v>0</v>
      </c>
      <c r="P31" s="208">
        <v>0</v>
      </c>
      <c r="Q31" s="208">
        <v>0</v>
      </c>
      <c r="R31" s="208">
        <v>0</v>
      </c>
      <c r="S31" s="208">
        <v>0</v>
      </c>
      <c r="T31" s="208">
        <v>0</v>
      </c>
      <c r="U31" s="208">
        <f t="shared" ref="U31:AF31" si="21">U30*100*30</f>
        <v>0</v>
      </c>
      <c r="V31" s="208">
        <f t="shared" si="21"/>
        <v>0</v>
      </c>
      <c r="W31" s="208">
        <f t="shared" si="21"/>
        <v>0</v>
      </c>
      <c r="X31" s="208">
        <f t="shared" si="21"/>
        <v>30000</v>
      </c>
      <c r="Y31" s="208">
        <f t="shared" si="21"/>
        <v>60000</v>
      </c>
      <c r="Z31" s="208">
        <f t="shared" si="21"/>
        <v>150000</v>
      </c>
      <c r="AA31" s="208">
        <f t="shared" si="21"/>
        <v>210000</v>
      </c>
      <c r="AB31" s="208">
        <f t="shared" si="21"/>
        <v>270000</v>
      </c>
      <c r="AC31" s="208">
        <f t="shared" si="21"/>
        <v>330000</v>
      </c>
      <c r="AD31" s="208">
        <f t="shared" si="21"/>
        <v>390000</v>
      </c>
      <c r="AE31" s="208">
        <f t="shared" si="21"/>
        <v>450000</v>
      </c>
      <c r="AF31" s="209">
        <f t="shared" si="21"/>
        <v>510000</v>
      </c>
      <c r="AG31" s="236">
        <f>SUM(I31:T31)</f>
        <v>0</v>
      </c>
      <c r="AH31" s="228">
        <f>SUM(U31:AF31)</f>
        <v>2400000</v>
      </c>
      <c r="AI31" s="208">
        <f>AI30*100*30</f>
        <v>870000</v>
      </c>
    </row>
    <row r="32" spans="1:36" s="208" customFormat="1" ht="12.75" x14ac:dyDescent="0.2">
      <c r="B32" s="539"/>
      <c r="C32" s="207" t="s">
        <v>64</v>
      </c>
      <c r="H32" s="209"/>
      <c r="I32" s="241">
        <f t="shared" ref="I32:T32" si="22">I31*100</f>
        <v>0</v>
      </c>
      <c r="J32" s="241">
        <f t="shared" si="22"/>
        <v>0</v>
      </c>
      <c r="K32" s="241">
        <f t="shared" si="22"/>
        <v>0</v>
      </c>
      <c r="L32" s="241">
        <f t="shared" si="22"/>
        <v>0</v>
      </c>
      <c r="M32" s="241">
        <f t="shared" si="22"/>
        <v>0</v>
      </c>
      <c r="N32" s="241">
        <f t="shared" si="22"/>
        <v>0</v>
      </c>
      <c r="O32" s="241">
        <f t="shared" si="22"/>
        <v>0</v>
      </c>
      <c r="P32" s="241">
        <f t="shared" si="22"/>
        <v>0</v>
      </c>
      <c r="Q32" s="241">
        <f t="shared" si="22"/>
        <v>0</v>
      </c>
      <c r="R32" s="241">
        <f t="shared" si="22"/>
        <v>0</v>
      </c>
      <c r="S32" s="241">
        <f t="shared" si="22"/>
        <v>0</v>
      </c>
      <c r="T32" s="241">
        <f t="shared" si="22"/>
        <v>0</v>
      </c>
      <c r="U32" s="241" t="e">
        <f t="shared" ref="U32:AF32" si="23">U31*ICU_ER_PANEL_PRICE</f>
        <v>#REF!</v>
      </c>
      <c r="V32" s="241" t="e">
        <f t="shared" si="23"/>
        <v>#REF!</v>
      </c>
      <c r="W32" s="241" t="e">
        <f t="shared" si="23"/>
        <v>#REF!</v>
      </c>
      <c r="X32" s="241" t="e">
        <f t="shared" si="23"/>
        <v>#REF!</v>
      </c>
      <c r="Y32" s="241" t="e">
        <f t="shared" si="23"/>
        <v>#REF!</v>
      </c>
      <c r="Z32" s="241" t="e">
        <f t="shared" si="23"/>
        <v>#REF!</v>
      </c>
      <c r="AA32" s="241" t="e">
        <f t="shared" si="23"/>
        <v>#REF!</v>
      </c>
      <c r="AB32" s="241" t="e">
        <f t="shared" si="23"/>
        <v>#REF!</v>
      </c>
      <c r="AC32" s="241" t="e">
        <f t="shared" si="23"/>
        <v>#REF!</v>
      </c>
      <c r="AD32" s="241" t="e">
        <f t="shared" si="23"/>
        <v>#REF!</v>
      </c>
      <c r="AE32" s="241" t="e">
        <f t="shared" si="23"/>
        <v>#REF!</v>
      </c>
      <c r="AF32" s="238" t="e">
        <f t="shared" si="23"/>
        <v>#REF!</v>
      </c>
      <c r="AG32" s="132">
        <f>SUM(I32:T32)</f>
        <v>0</v>
      </c>
      <c r="AH32" s="160" t="e">
        <f>SUM(U32:AF32)</f>
        <v>#REF!</v>
      </c>
      <c r="AI32" s="241">
        <f>AI31*100</f>
        <v>87000000</v>
      </c>
    </row>
    <row r="33" spans="1:34" s="208" customFormat="1" ht="12.75" x14ac:dyDescent="0.2">
      <c r="B33" s="218"/>
      <c r="H33" s="209"/>
      <c r="AF33" s="209"/>
      <c r="AG33" s="236"/>
      <c r="AH33" s="228"/>
    </row>
    <row r="34" spans="1:34" s="208" customFormat="1" ht="12.75" x14ac:dyDescent="0.2">
      <c r="B34" s="218"/>
      <c r="H34" s="209"/>
      <c r="AC34" s="210"/>
      <c r="AD34" s="210"/>
      <c r="AF34" s="209"/>
      <c r="AG34" s="236"/>
      <c r="AH34" s="228"/>
    </row>
    <row r="35" spans="1:34" s="208" customFormat="1" x14ac:dyDescent="0.25">
      <c r="B35" s="218"/>
      <c r="C35" s="244" t="s">
        <v>72</v>
      </c>
      <c r="H35" s="209"/>
      <c r="I35" s="208" t="s">
        <v>73</v>
      </c>
      <c r="J35" s="208" t="s">
        <v>73</v>
      </c>
      <c r="K35" s="208" t="s">
        <v>73</v>
      </c>
      <c r="L35" s="208" t="s">
        <v>73</v>
      </c>
      <c r="M35" s="208" t="s">
        <v>73</v>
      </c>
      <c r="N35" s="208" t="s">
        <v>73</v>
      </c>
      <c r="O35" s="208" t="s">
        <v>73</v>
      </c>
      <c r="P35" s="208" t="s">
        <v>73</v>
      </c>
      <c r="Q35" s="208" t="s">
        <v>73</v>
      </c>
      <c r="R35" s="208" t="s">
        <v>73</v>
      </c>
      <c r="S35" s="208" t="s">
        <v>73</v>
      </c>
      <c r="T35" s="208" t="s">
        <v>73</v>
      </c>
      <c r="U35" s="208" t="s">
        <v>73</v>
      </c>
      <c r="V35" s="208" t="s">
        <v>73</v>
      </c>
      <c r="W35" s="208" t="s">
        <v>73</v>
      </c>
      <c r="X35" s="208" t="s">
        <v>73</v>
      </c>
      <c r="Y35" s="208" t="s">
        <v>73</v>
      </c>
      <c r="Z35" s="208" t="s">
        <v>73</v>
      </c>
      <c r="AA35" s="208" t="s">
        <v>73</v>
      </c>
      <c r="AB35" s="208" t="s">
        <v>73</v>
      </c>
      <c r="AC35" s="208" t="s">
        <v>73</v>
      </c>
      <c r="AD35" s="208" t="s">
        <v>73</v>
      </c>
      <c r="AE35" s="208" t="s">
        <v>73</v>
      </c>
      <c r="AF35" s="209" t="s">
        <v>73</v>
      </c>
      <c r="AG35" s="245" t="s">
        <v>73</v>
      </c>
      <c r="AH35" s="246" t="s">
        <v>73</v>
      </c>
    </row>
    <row r="36" spans="1:34" s="208" customFormat="1" x14ac:dyDescent="0.25">
      <c r="B36" s="218"/>
      <c r="C36" s="244" t="s">
        <v>74</v>
      </c>
      <c r="H36" s="209"/>
      <c r="I36" s="208" t="s">
        <v>73</v>
      </c>
      <c r="J36" s="208" t="s">
        <v>73</v>
      </c>
      <c r="K36" s="208" t="s">
        <v>73</v>
      </c>
      <c r="L36" s="208" t="s">
        <v>73</v>
      </c>
      <c r="M36" s="208" t="s">
        <v>73</v>
      </c>
      <c r="N36" s="208" t="s">
        <v>73</v>
      </c>
      <c r="O36" s="208" t="s">
        <v>73</v>
      </c>
      <c r="P36" s="208" t="s">
        <v>73</v>
      </c>
      <c r="Q36" s="208" t="s">
        <v>73</v>
      </c>
      <c r="R36" s="208" t="s">
        <v>73</v>
      </c>
      <c r="S36" s="208" t="s">
        <v>73</v>
      </c>
      <c r="T36" s="208" t="s">
        <v>73</v>
      </c>
      <c r="U36" s="208" t="s">
        <v>73</v>
      </c>
      <c r="V36" s="208" t="s">
        <v>73</v>
      </c>
      <c r="W36" s="208" t="s">
        <v>73</v>
      </c>
      <c r="X36" s="208" t="s">
        <v>73</v>
      </c>
      <c r="Y36" s="208" t="s">
        <v>73</v>
      </c>
      <c r="Z36" s="208" t="s">
        <v>73</v>
      </c>
      <c r="AA36" s="208" t="s">
        <v>73</v>
      </c>
      <c r="AB36" s="208" t="s">
        <v>73</v>
      </c>
      <c r="AC36" s="208" t="s">
        <v>73</v>
      </c>
      <c r="AD36" s="208" t="s">
        <v>73</v>
      </c>
      <c r="AE36" s="208" t="s">
        <v>73</v>
      </c>
      <c r="AF36" s="209" t="s">
        <v>73</v>
      </c>
      <c r="AG36" s="245" t="s">
        <v>73</v>
      </c>
      <c r="AH36" s="246" t="s">
        <v>73</v>
      </c>
    </row>
    <row r="37" spans="1:34" s="208" customFormat="1" ht="12.75" x14ac:dyDescent="0.2">
      <c r="B37" s="218"/>
      <c r="H37" s="209"/>
      <c r="AC37" s="210"/>
      <c r="AD37" s="210"/>
      <c r="AF37" s="209"/>
      <c r="AG37" s="236"/>
      <c r="AH37" s="228"/>
    </row>
    <row r="38" spans="1:34" s="208" customFormat="1" ht="12.75" x14ac:dyDescent="0.2">
      <c r="B38" s="218"/>
      <c r="H38" s="209"/>
      <c r="AC38" s="210"/>
      <c r="AD38" s="210"/>
      <c r="AF38" s="209"/>
      <c r="AG38" s="236"/>
      <c r="AH38" s="228"/>
    </row>
    <row r="39" spans="1:34" s="208" customFormat="1" ht="12.75" x14ac:dyDescent="0.2">
      <c r="B39" s="218"/>
      <c r="H39" s="209"/>
      <c r="AC39" s="210"/>
      <c r="AD39" s="210"/>
      <c r="AF39" s="209"/>
      <c r="AG39" s="236"/>
      <c r="AH39" s="228"/>
    </row>
    <row r="40" spans="1:34" s="208" customFormat="1" ht="13.5" thickBot="1" x14ac:dyDescent="0.25">
      <c r="C40" s="247" t="s">
        <v>75</v>
      </c>
      <c r="D40" s="248"/>
      <c r="E40" s="248"/>
      <c r="F40" s="248"/>
      <c r="G40" s="248"/>
      <c r="H40" s="249"/>
      <c r="I40" s="248">
        <f t="shared" ref="I40:AF40" si="24">ROUND((I13)+(I23/25)+(I27/30),-2)</f>
        <v>100</v>
      </c>
      <c r="J40" s="248">
        <f t="shared" si="24"/>
        <v>400</v>
      </c>
      <c r="K40" s="248">
        <f t="shared" si="24"/>
        <v>1100</v>
      </c>
      <c r="L40" s="248">
        <f t="shared" si="24"/>
        <v>2300</v>
      </c>
      <c r="M40" s="248">
        <f t="shared" si="24"/>
        <v>3800</v>
      </c>
      <c r="N40" s="248">
        <f t="shared" si="24"/>
        <v>8300</v>
      </c>
      <c r="O40" s="248">
        <f t="shared" si="24"/>
        <v>12500</v>
      </c>
      <c r="P40" s="248">
        <f t="shared" si="24"/>
        <v>17600</v>
      </c>
      <c r="Q40" s="248">
        <f t="shared" si="24"/>
        <v>26900</v>
      </c>
      <c r="R40" s="248">
        <f t="shared" si="24"/>
        <v>39500</v>
      </c>
      <c r="S40" s="248">
        <f t="shared" si="24"/>
        <v>48900</v>
      </c>
      <c r="T40" s="248">
        <f t="shared" si="24"/>
        <v>58200</v>
      </c>
      <c r="U40" s="248">
        <f t="shared" si="24"/>
        <v>65800</v>
      </c>
      <c r="V40" s="248">
        <f t="shared" si="24"/>
        <v>73400</v>
      </c>
      <c r="W40" s="248">
        <f t="shared" si="24"/>
        <v>81000</v>
      </c>
      <c r="X40" s="248">
        <f t="shared" si="24"/>
        <v>88600</v>
      </c>
      <c r="Y40" s="248">
        <f t="shared" si="24"/>
        <v>96200</v>
      </c>
      <c r="Z40" s="248">
        <f t="shared" si="24"/>
        <v>101300</v>
      </c>
      <c r="AA40" s="248">
        <f t="shared" si="24"/>
        <v>106400</v>
      </c>
      <c r="AB40" s="248">
        <f t="shared" si="24"/>
        <v>116500</v>
      </c>
      <c r="AC40" s="248">
        <f t="shared" si="24"/>
        <v>121500</v>
      </c>
      <c r="AD40" s="248">
        <f t="shared" si="24"/>
        <v>131600</v>
      </c>
      <c r="AE40" s="248">
        <f t="shared" si="24"/>
        <v>134200</v>
      </c>
      <c r="AF40" s="249">
        <f t="shared" si="24"/>
        <v>136800</v>
      </c>
      <c r="AG40" s="250">
        <f>T40</f>
        <v>58200</v>
      </c>
      <c r="AH40" s="251">
        <f>AF40</f>
        <v>136800</v>
      </c>
    </row>
    <row r="41" spans="1:34" s="208" customFormat="1" ht="13.5" thickTop="1" x14ac:dyDescent="0.2">
      <c r="B41" s="218"/>
      <c r="C41" s="207" t="s">
        <v>64</v>
      </c>
      <c r="H41" s="209"/>
      <c r="I41" s="241" t="e">
        <f>I19+I24+I28</f>
        <v>#REF!</v>
      </c>
      <c r="J41" s="241" t="e">
        <f>ROUND(J19+J24+J28,-5)</f>
        <v>#REF!</v>
      </c>
      <c r="K41" s="241" t="e">
        <f>ROUND(K19+K24+K28,-5)</f>
        <v>#REF!</v>
      </c>
      <c r="L41" s="241" t="e">
        <f>ROUND(L19+L24+L28,-5)</f>
        <v>#REF!</v>
      </c>
      <c r="M41" s="241" t="e">
        <f>ROUND(M19+M24+M28,-5)</f>
        <v>#REF!</v>
      </c>
      <c r="N41" s="241" t="e">
        <f t="shared" ref="N41:AF41" si="25">ROUND(N19+N24+N28,-6)</f>
        <v>#REF!</v>
      </c>
      <c r="O41" s="241" t="e">
        <f t="shared" si="25"/>
        <v>#REF!</v>
      </c>
      <c r="P41" s="241" t="e">
        <f t="shared" si="25"/>
        <v>#REF!</v>
      </c>
      <c r="Q41" s="241" t="e">
        <f t="shared" si="25"/>
        <v>#REF!</v>
      </c>
      <c r="R41" s="241" t="e">
        <f t="shared" si="25"/>
        <v>#REF!</v>
      </c>
      <c r="S41" s="241" t="e">
        <f t="shared" si="25"/>
        <v>#REF!</v>
      </c>
      <c r="T41" s="241" t="e">
        <f t="shared" si="25"/>
        <v>#REF!</v>
      </c>
      <c r="U41" s="241" t="e">
        <f t="shared" si="25"/>
        <v>#REF!</v>
      </c>
      <c r="V41" s="241" t="e">
        <f t="shared" si="25"/>
        <v>#REF!</v>
      </c>
      <c r="W41" s="241" t="e">
        <f t="shared" si="25"/>
        <v>#REF!</v>
      </c>
      <c r="X41" s="241" t="e">
        <f t="shared" si="25"/>
        <v>#REF!</v>
      </c>
      <c r="Y41" s="241" t="e">
        <f t="shared" si="25"/>
        <v>#REF!</v>
      </c>
      <c r="Z41" s="241" t="e">
        <f t="shared" si="25"/>
        <v>#REF!</v>
      </c>
      <c r="AA41" s="241" t="e">
        <f t="shared" si="25"/>
        <v>#REF!</v>
      </c>
      <c r="AB41" s="241" t="e">
        <f t="shared" si="25"/>
        <v>#REF!</v>
      </c>
      <c r="AC41" s="241" t="e">
        <f t="shared" si="25"/>
        <v>#REF!</v>
      </c>
      <c r="AD41" s="241" t="e">
        <f t="shared" si="25"/>
        <v>#REF!</v>
      </c>
      <c r="AE41" s="241" t="e">
        <f t="shared" si="25"/>
        <v>#REF!</v>
      </c>
      <c r="AF41" s="238" t="e">
        <f t="shared" si="25"/>
        <v>#REF!</v>
      </c>
      <c r="AG41" s="132" t="e">
        <f>ROUND(AG19+AG24+AG28+AG32,-6)</f>
        <v>#REF!</v>
      </c>
      <c r="AH41" s="132" t="e">
        <f>ROUND(AH19+AH24+AH28+AH32,-7)</f>
        <v>#REF!</v>
      </c>
    </row>
    <row r="42" spans="1:34" s="208" customFormat="1" ht="12.75" x14ac:dyDescent="0.2">
      <c r="B42" s="218"/>
      <c r="H42" s="209"/>
      <c r="AC42" s="210"/>
      <c r="AD42" s="210"/>
      <c r="AF42" s="209"/>
      <c r="AG42" s="236"/>
      <c r="AH42" s="228"/>
    </row>
    <row r="43" spans="1:34" s="208" customFormat="1" ht="12.75" x14ac:dyDescent="0.2">
      <c r="B43" s="218"/>
      <c r="H43" s="209"/>
      <c r="AC43" s="210"/>
      <c r="AD43" s="210"/>
      <c r="AF43" s="209"/>
      <c r="AG43" s="236"/>
      <c r="AH43" s="228"/>
    </row>
    <row r="44" spans="1:34" s="208" customFormat="1" ht="12.75" x14ac:dyDescent="0.2">
      <c r="B44" s="218"/>
      <c r="H44" s="209"/>
      <c r="AC44" s="210"/>
      <c r="AD44" s="210"/>
      <c r="AF44" s="209"/>
      <c r="AG44" s="236"/>
      <c r="AH44" s="228"/>
    </row>
    <row r="45" spans="1:34" s="208" customFormat="1" ht="12.75" x14ac:dyDescent="0.2">
      <c r="B45" s="240"/>
      <c r="C45" s="218"/>
      <c r="H45" s="209"/>
      <c r="AF45" s="209"/>
      <c r="AG45" s="236"/>
      <c r="AH45" s="228"/>
    </row>
    <row r="46" spans="1:34" s="210" customFormat="1" ht="12.75" customHeight="1" x14ac:dyDescent="0.2">
      <c r="B46" s="540" t="s">
        <v>76</v>
      </c>
      <c r="C46" s="218" t="s">
        <v>77</v>
      </c>
      <c r="K46" s="210" t="e">
        <f>ROUND((K40/(24*6*1/AVG_RUNTIME_G1)),-1)</f>
        <v>#REF!</v>
      </c>
      <c r="L46" s="210" t="e">
        <f>ROUND((L40/(24*6*1/AVG_RUNTIME_G1))-SUM($D46:K46),-1)</f>
        <v>#REF!</v>
      </c>
      <c r="M46" s="210" t="e">
        <f>ROUND((M40/(24*6*1/AVG_RUNTIME_G1))-SUM($D46:L46),-1)</f>
        <v>#REF!</v>
      </c>
      <c r="N46" s="210" t="e">
        <f>ROUND((N40/(24*6*1/AVG_RUNTIME_G1))-SUM($D46:M46),-1)</f>
        <v>#REF!</v>
      </c>
      <c r="O46" s="210" t="e">
        <f>ROUND((O40/(24*6*1/AVG_RUNTIME_G1))-SUM($D46:N46),-1)</f>
        <v>#REF!</v>
      </c>
      <c r="P46" s="210" t="e">
        <f>ROUND((P40/(24*6*1/AVG_RUNTIME_G1))-SUM($D46:O46),-1)</f>
        <v>#REF!</v>
      </c>
      <c r="Q46" s="210" t="e">
        <f>ROUND((Q40/(24*6*1/AVG_RUNTIME_G1))-SUM($D46:P46),-1)</f>
        <v>#REF!</v>
      </c>
      <c r="R46" s="210" t="e">
        <f>ROUND((R40/(24*6*1/AVG_RUNTIME_G1))-SUM($D46:Q46),-1)</f>
        <v>#REF!</v>
      </c>
      <c r="S46" s="210" t="e">
        <f>ROUND((S40/(24*6*1/AVG_RUNTIME_G1))-SUM($D46:R46),-1)</f>
        <v>#REF!</v>
      </c>
      <c r="T46" s="210" t="e">
        <f>ROUND((T40/(24*6*1/AVG_RUNTIME_G1))-SUM($D46:S46),-1)</f>
        <v>#REF!</v>
      </c>
      <c r="U46" s="210" t="e">
        <f>ROUND((U40/(24*6*1/AVG_RUNTIME_G2))-SUM($D46:T46),-1)</f>
        <v>#REF!</v>
      </c>
      <c r="V46" s="210" t="e">
        <f>ROUND((V40/(24*6*1/AVG_RUNTIME_G2))-SUM($D46:U46),-1)</f>
        <v>#REF!</v>
      </c>
      <c r="W46" s="210" t="e">
        <f>ROUND((W40/(24*6*1/AVG_RUNTIME_G2))-SUM($D46:V46),-1)</f>
        <v>#REF!</v>
      </c>
      <c r="X46" s="210" t="e">
        <f>ROUND((X40/(24*6*1/AVG_RUNTIME_G2))-SUM($D46:W46),-1)</f>
        <v>#REF!</v>
      </c>
      <c r="Y46" s="210" t="e">
        <f>ROUND((Y40/(24*6*1/AVG_RUNTIME_G2))-SUM($D46:X46),-1)</f>
        <v>#REF!</v>
      </c>
      <c r="Z46" s="210" t="e">
        <f>ROUND((Z40/(24*6*1/AVG_RUNTIME_G2))-SUM($D46:Y46),-1)</f>
        <v>#REF!</v>
      </c>
      <c r="AA46" s="210" t="e">
        <f>ROUND((AA40/(24*6*1/AVG_RUNTIME_G2))-SUM($D46:Z46),-1)</f>
        <v>#REF!</v>
      </c>
      <c r="AB46" s="210" t="e">
        <f>ROUND((AB40/(24*6*1/AVG_RUNTIME_G2))-SUM($D46:AA46),-1)</f>
        <v>#REF!</v>
      </c>
      <c r="AC46" s="210" t="e">
        <f>ROUND((AC40/(24*6*1/AVG_RUNTIME_G2))-SUM($D46:AB46),-1)</f>
        <v>#REF!</v>
      </c>
      <c r="AD46" s="210" t="e">
        <f>ROUND((AD40/(24*6*1/AVG_RUNTIME_G2))-SUM($D46:AC46),-1)</f>
        <v>#REF!</v>
      </c>
      <c r="AE46" s="210" t="e">
        <f>ROUND((AE40/(24*6*1/AVG_RUNTIME_G2))-SUM($D46:AD46),-1)</f>
        <v>#REF!</v>
      </c>
      <c r="AF46" s="209" t="e">
        <f>ROUND((AF40/(24*6*1/AVG_RUNTIME_G2))-SUM($D46:AE46),-1)</f>
        <v>#REF!</v>
      </c>
      <c r="AG46" s="236" t="e">
        <f t="shared" ref="AG46:AG48" si="26">SUM(I46:T46)</f>
        <v>#REF!</v>
      </c>
      <c r="AH46" s="228" t="e">
        <f>SUM(U46:AF46)+AG46</f>
        <v>#REF!</v>
      </c>
    </row>
    <row r="47" spans="1:34" s="253" customFormat="1" ht="12.75" customHeight="1" x14ac:dyDescent="0.2">
      <c r="A47" s="252"/>
      <c r="B47" s="540"/>
      <c r="C47" s="218" t="str">
        <f>C10</f>
        <v>Walgreens</v>
      </c>
      <c r="D47" s="253">
        <v>0</v>
      </c>
      <c r="E47" s="253">
        <v>0</v>
      </c>
      <c r="F47" s="253">
        <v>0</v>
      </c>
      <c r="G47" s="253">
        <f>(J3-I3)*2*(1+$A$47)</f>
        <v>20</v>
      </c>
      <c r="H47" s="253">
        <f>(K3-J3)*2*(1+$A$47)</f>
        <v>0</v>
      </c>
      <c r="U47" s="253" t="e">
        <f>(U3*D_DAY_RATE_RX_2015)</f>
        <v>#REF!</v>
      </c>
      <c r="V47" s="253" t="e">
        <f t="shared" ref="V47:AF47" si="27">(V3-U3)*D_DAY_RATE_RX_2015</f>
        <v>#REF!</v>
      </c>
      <c r="W47" s="253" t="e">
        <f t="shared" si="27"/>
        <v>#REF!</v>
      </c>
      <c r="X47" s="253" t="e">
        <f t="shared" si="27"/>
        <v>#REF!</v>
      </c>
      <c r="Y47" s="253" t="e">
        <f t="shared" si="27"/>
        <v>#REF!</v>
      </c>
      <c r="Z47" s="253" t="e">
        <f t="shared" si="27"/>
        <v>#REF!</v>
      </c>
      <c r="AA47" s="253" t="e">
        <f t="shared" si="27"/>
        <v>#REF!</v>
      </c>
      <c r="AB47" s="253" t="e">
        <f t="shared" si="27"/>
        <v>#REF!</v>
      </c>
      <c r="AC47" s="253" t="e">
        <f t="shared" si="27"/>
        <v>#REF!</v>
      </c>
      <c r="AD47" s="253" t="e">
        <f t="shared" si="27"/>
        <v>#REF!</v>
      </c>
      <c r="AE47" s="253" t="e">
        <f t="shared" si="27"/>
        <v>#REF!</v>
      </c>
      <c r="AF47" s="227" t="e">
        <f t="shared" si="27"/>
        <v>#REF!</v>
      </c>
      <c r="AG47" s="236">
        <f t="shared" si="26"/>
        <v>0</v>
      </c>
      <c r="AH47" s="228" t="e">
        <f>SUM(U47:AF47)+AG47</f>
        <v>#REF!</v>
      </c>
    </row>
    <row r="48" spans="1:34" s="253" customFormat="1" ht="12.75" x14ac:dyDescent="0.2">
      <c r="B48" s="540"/>
      <c r="C48" s="218" t="str">
        <f>C12</f>
        <v>Other Retail Pharmacies</v>
      </c>
      <c r="G48" s="253">
        <f>(J5-I5)*2*(1+$A$47)</f>
        <v>0</v>
      </c>
      <c r="H48" s="253">
        <f>(K5-J5)*2*(1+$A$47)</f>
        <v>0</v>
      </c>
      <c r="U48" s="253" t="e">
        <f>(U5*D_DAY_RATE_RX_2015)</f>
        <v>#REF!</v>
      </c>
      <c r="V48" s="253" t="e">
        <f t="shared" ref="V48:AF48" si="28">(V5-U5)*D_DAY_RATE_RX_2015</f>
        <v>#REF!</v>
      </c>
      <c r="W48" s="253" t="e">
        <f t="shared" si="28"/>
        <v>#REF!</v>
      </c>
      <c r="X48" s="253" t="e">
        <f t="shared" si="28"/>
        <v>#REF!</v>
      </c>
      <c r="Y48" s="253" t="e">
        <f t="shared" si="28"/>
        <v>#REF!</v>
      </c>
      <c r="Z48" s="253" t="e">
        <f t="shared" si="28"/>
        <v>#REF!</v>
      </c>
      <c r="AA48" s="253" t="e">
        <f t="shared" si="28"/>
        <v>#REF!</v>
      </c>
      <c r="AB48" s="253" t="e">
        <f t="shared" si="28"/>
        <v>#REF!</v>
      </c>
      <c r="AC48" s="253" t="e">
        <f t="shared" si="28"/>
        <v>#REF!</v>
      </c>
      <c r="AD48" s="253" t="e">
        <f t="shared" si="28"/>
        <v>#REF!</v>
      </c>
      <c r="AE48" s="253" t="e">
        <f t="shared" si="28"/>
        <v>#REF!</v>
      </c>
      <c r="AF48" s="227" t="e">
        <f t="shared" si="28"/>
        <v>#REF!</v>
      </c>
      <c r="AG48" s="236">
        <f t="shared" si="26"/>
        <v>0</v>
      </c>
      <c r="AH48" s="228" t="e">
        <f>SUM(U48:AF48)+AG48</f>
        <v>#REF!</v>
      </c>
    </row>
    <row r="49" spans="2:44" s="253" customFormat="1" ht="12.75" x14ac:dyDescent="0.2">
      <c r="B49" s="540"/>
      <c r="C49" s="218" t="s">
        <v>78</v>
      </c>
      <c r="D49" s="210">
        <v>0</v>
      </c>
      <c r="E49" s="210">
        <v>0</v>
      </c>
      <c r="F49" s="210">
        <v>0</v>
      </c>
      <c r="G49" s="210">
        <v>0</v>
      </c>
      <c r="H49" s="210">
        <v>0</v>
      </c>
      <c r="I49" s="210" t="e">
        <f>I30*HOSPITAL_NUM_ML_2015</f>
        <v>#REF!</v>
      </c>
      <c r="J49" s="210" t="e">
        <f t="shared" ref="J49:AF49" si="29">(J30-I30)*HOSPITAL_NUM_ML_2015</f>
        <v>#REF!</v>
      </c>
      <c r="K49" s="210" t="e">
        <f t="shared" si="29"/>
        <v>#REF!</v>
      </c>
      <c r="L49" s="210" t="e">
        <f t="shared" si="29"/>
        <v>#REF!</v>
      </c>
      <c r="M49" s="210" t="e">
        <f t="shared" si="29"/>
        <v>#REF!</v>
      </c>
      <c r="N49" s="210" t="e">
        <f t="shared" si="29"/>
        <v>#REF!</v>
      </c>
      <c r="O49" s="210" t="e">
        <f t="shared" si="29"/>
        <v>#REF!</v>
      </c>
      <c r="P49" s="210" t="e">
        <f t="shared" si="29"/>
        <v>#REF!</v>
      </c>
      <c r="Q49" s="210" t="e">
        <f t="shared" si="29"/>
        <v>#REF!</v>
      </c>
      <c r="R49" s="210" t="e">
        <f t="shared" si="29"/>
        <v>#REF!</v>
      </c>
      <c r="S49" s="210" t="e">
        <f t="shared" si="29"/>
        <v>#REF!</v>
      </c>
      <c r="T49" s="210" t="e">
        <f t="shared" si="29"/>
        <v>#REF!</v>
      </c>
      <c r="U49" s="210" t="e">
        <f t="shared" si="29"/>
        <v>#REF!</v>
      </c>
      <c r="V49" s="210" t="e">
        <f t="shared" si="29"/>
        <v>#REF!</v>
      </c>
      <c r="W49" s="210" t="e">
        <f t="shared" si="29"/>
        <v>#REF!</v>
      </c>
      <c r="X49" s="210" t="e">
        <f t="shared" si="29"/>
        <v>#REF!</v>
      </c>
      <c r="Y49" s="210" t="e">
        <f t="shared" si="29"/>
        <v>#REF!</v>
      </c>
      <c r="Z49" s="210" t="e">
        <f t="shared" si="29"/>
        <v>#REF!</v>
      </c>
      <c r="AA49" s="210" t="e">
        <f t="shared" si="29"/>
        <v>#REF!</v>
      </c>
      <c r="AB49" s="210" t="e">
        <f t="shared" si="29"/>
        <v>#REF!</v>
      </c>
      <c r="AC49" s="210" t="e">
        <f t="shared" si="29"/>
        <v>#REF!</v>
      </c>
      <c r="AD49" s="210" t="e">
        <f t="shared" si="29"/>
        <v>#REF!</v>
      </c>
      <c r="AE49" s="210" t="e">
        <f t="shared" si="29"/>
        <v>#REF!</v>
      </c>
      <c r="AF49" s="209" t="e">
        <f t="shared" si="29"/>
        <v>#REF!</v>
      </c>
      <c r="AG49" s="236" t="e">
        <f>SUM(I49:T49)</f>
        <v>#REF!</v>
      </c>
      <c r="AH49" s="228" t="e">
        <f>SUM(U49:AF49)+AG49</f>
        <v>#REF!</v>
      </c>
    </row>
    <row r="50" spans="2:44" s="75" customFormat="1" x14ac:dyDescent="0.25">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5"/>
      <c r="AG50" s="132"/>
      <c r="AH50" s="160"/>
      <c r="AI50" s="254"/>
      <c r="AJ50" s="254"/>
      <c r="AK50" s="254"/>
      <c r="AL50" s="254"/>
      <c r="AM50" s="254"/>
      <c r="AN50" s="254"/>
      <c r="AO50" s="254"/>
      <c r="AP50" s="254"/>
      <c r="AQ50" s="254"/>
      <c r="AR50" s="256"/>
    </row>
    <row r="51" spans="2:44" s="75" customFormat="1" x14ac:dyDescent="0.25">
      <c r="AF51" s="76"/>
      <c r="AG51" s="27"/>
      <c r="AH51" s="28"/>
    </row>
    <row r="53" spans="2:44" ht="15.75" thickBot="1" x14ac:dyDescent="0.3">
      <c r="C53" s="218" t="s">
        <v>79</v>
      </c>
      <c r="I53" s="257" t="e">
        <f t="shared" ref="I53:AF53" si="30">SUM(I46:I51)</f>
        <v>#REF!</v>
      </c>
      <c r="J53" s="257" t="e">
        <f t="shared" si="30"/>
        <v>#REF!</v>
      </c>
      <c r="K53" s="257" t="e">
        <f t="shared" si="30"/>
        <v>#REF!</v>
      </c>
      <c r="L53" s="257" t="e">
        <f t="shared" si="30"/>
        <v>#REF!</v>
      </c>
      <c r="M53" s="257" t="e">
        <f t="shared" si="30"/>
        <v>#REF!</v>
      </c>
      <c r="N53" s="257" t="e">
        <f t="shared" si="30"/>
        <v>#REF!</v>
      </c>
      <c r="O53" s="257" t="e">
        <f t="shared" si="30"/>
        <v>#REF!</v>
      </c>
      <c r="P53" s="257" t="e">
        <f t="shared" si="30"/>
        <v>#REF!</v>
      </c>
      <c r="Q53" s="257" t="e">
        <f t="shared" si="30"/>
        <v>#REF!</v>
      </c>
      <c r="R53" s="257" t="e">
        <f t="shared" si="30"/>
        <v>#REF!</v>
      </c>
      <c r="S53" s="257" t="e">
        <f t="shared" si="30"/>
        <v>#REF!</v>
      </c>
      <c r="T53" s="257" t="e">
        <f t="shared" si="30"/>
        <v>#REF!</v>
      </c>
      <c r="U53" s="257" t="e">
        <f t="shared" si="30"/>
        <v>#REF!</v>
      </c>
      <c r="V53" s="257" t="e">
        <f t="shared" si="30"/>
        <v>#REF!</v>
      </c>
      <c r="W53" s="257" t="e">
        <f t="shared" si="30"/>
        <v>#REF!</v>
      </c>
      <c r="X53" s="257" t="e">
        <f t="shared" si="30"/>
        <v>#REF!</v>
      </c>
      <c r="Y53" s="257" t="e">
        <f t="shared" si="30"/>
        <v>#REF!</v>
      </c>
      <c r="Z53" s="257" t="e">
        <f t="shared" si="30"/>
        <v>#REF!</v>
      </c>
      <c r="AA53" s="257" t="e">
        <f t="shared" si="30"/>
        <v>#REF!</v>
      </c>
      <c r="AB53" s="257" t="e">
        <f t="shared" si="30"/>
        <v>#REF!</v>
      </c>
      <c r="AC53" s="257" t="e">
        <f t="shared" si="30"/>
        <v>#REF!</v>
      </c>
      <c r="AD53" s="257" t="e">
        <f t="shared" si="30"/>
        <v>#REF!</v>
      </c>
      <c r="AE53" s="257" t="e">
        <f t="shared" si="30"/>
        <v>#REF!</v>
      </c>
      <c r="AF53" s="258" t="e">
        <f t="shared" si="30"/>
        <v>#REF!</v>
      </c>
      <c r="AG53" s="78" t="e">
        <f>SUM(AG46:AG49)</f>
        <v>#REF!</v>
      </c>
      <c r="AH53" s="79" t="e">
        <f>SUM(AH46:AH49)</f>
        <v>#REF!</v>
      </c>
    </row>
    <row r="54" spans="2:44" ht="15.75" thickTop="1" x14ac:dyDescent="0.25">
      <c r="C54" s="80" t="s">
        <v>80</v>
      </c>
      <c r="I54" s="81" t="e">
        <f>I53</f>
        <v>#REF!</v>
      </c>
      <c r="J54" s="81" t="e">
        <f>J53+I54</f>
        <v>#REF!</v>
      </c>
      <c r="K54" s="81" t="e">
        <f t="shared" ref="K54:AF54" si="31">K53+J54</f>
        <v>#REF!</v>
      </c>
      <c r="L54" s="81" t="e">
        <f t="shared" si="31"/>
        <v>#REF!</v>
      </c>
      <c r="M54" s="81" t="e">
        <f t="shared" si="31"/>
        <v>#REF!</v>
      </c>
      <c r="N54" s="81" t="e">
        <f t="shared" si="31"/>
        <v>#REF!</v>
      </c>
      <c r="O54" s="81" t="e">
        <f t="shared" si="31"/>
        <v>#REF!</v>
      </c>
      <c r="P54" s="81" t="e">
        <f t="shared" si="31"/>
        <v>#REF!</v>
      </c>
      <c r="Q54" s="81" t="e">
        <f t="shared" si="31"/>
        <v>#REF!</v>
      </c>
      <c r="R54" s="81" t="e">
        <f t="shared" si="31"/>
        <v>#REF!</v>
      </c>
      <c r="S54" s="81" t="e">
        <f t="shared" si="31"/>
        <v>#REF!</v>
      </c>
      <c r="T54" s="81" t="e">
        <f t="shared" si="31"/>
        <v>#REF!</v>
      </c>
      <c r="U54" s="81" t="e">
        <f t="shared" si="31"/>
        <v>#REF!</v>
      </c>
      <c r="V54" s="81" t="e">
        <f t="shared" si="31"/>
        <v>#REF!</v>
      </c>
      <c r="W54" s="81" t="e">
        <f t="shared" si="31"/>
        <v>#REF!</v>
      </c>
      <c r="X54" s="81" t="e">
        <f t="shared" si="31"/>
        <v>#REF!</v>
      </c>
      <c r="Y54" s="81" t="e">
        <f t="shared" si="31"/>
        <v>#REF!</v>
      </c>
      <c r="Z54" s="81" t="e">
        <f t="shared" si="31"/>
        <v>#REF!</v>
      </c>
      <c r="AA54" s="81" t="e">
        <f t="shared" si="31"/>
        <v>#REF!</v>
      </c>
      <c r="AB54" s="81" t="e">
        <f t="shared" si="31"/>
        <v>#REF!</v>
      </c>
      <c r="AC54" s="81" t="e">
        <f t="shared" si="31"/>
        <v>#REF!</v>
      </c>
      <c r="AD54" s="81" t="e">
        <f t="shared" si="31"/>
        <v>#REF!</v>
      </c>
      <c r="AE54" s="81" t="e">
        <f t="shared" si="31"/>
        <v>#REF!</v>
      </c>
      <c r="AF54" s="82" t="e">
        <f t="shared" si="31"/>
        <v>#REF!</v>
      </c>
    </row>
    <row r="61" spans="2:44" x14ac:dyDescent="0.25">
      <c r="C61" s="25"/>
    </row>
  </sheetData>
  <mergeCells count="10">
    <mergeCell ref="B22:B24"/>
    <mergeCell ref="B26:B28"/>
    <mergeCell ref="B30:B32"/>
    <mergeCell ref="B46:B49"/>
    <mergeCell ref="A2:A13"/>
    <mergeCell ref="B3:B6"/>
    <mergeCell ref="B7:B9"/>
    <mergeCell ref="B10:B12"/>
    <mergeCell ref="A16:C16"/>
    <mergeCell ref="B17:B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4:Z53"/>
  <sheetViews>
    <sheetView showGridLines="0" topLeftCell="B15" zoomScale="85" zoomScaleNormal="85" workbookViewId="0">
      <selection activeCell="P16" sqref="P16"/>
    </sheetView>
  </sheetViews>
  <sheetFormatPr defaultColWidth="12.28515625" defaultRowHeight="12.75" outlineLevelCol="1" x14ac:dyDescent="0.2"/>
  <cols>
    <col min="1" max="1" width="10.7109375" style="84" customWidth="1"/>
    <col min="2" max="2" width="66.28515625" style="84" bestFit="1" customWidth="1"/>
    <col min="3" max="3" width="18.5703125" style="83" bestFit="1" customWidth="1"/>
    <col min="4" max="9" width="16.28515625" style="83" customWidth="1" outlineLevel="1"/>
    <col min="10" max="15" width="16.5703125" style="83" customWidth="1" outlineLevel="1"/>
    <col min="16" max="16" width="20.7109375" style="84" bestFit="1" customWidth="1"/>
    <col min="17" max="17" width="23.140625" style="84" bestFit="1" customWidth="1"/>
    <col min="18" max="18" width="12.28515625" style="84"/>
    <col min="19" max="19" width="12.28515625" style="84" hidden="1" customWidth="1"/>
    <col min="20" max="20" width="12.5703125" style="84" hidden="1" customWidth="1"/>
    <col min="21" max="22" width="12.28515625" style="84" hidden="1" customWidth="1"/>
    <col min="23" max="23" width="28" style="84" hidden="1" customWidth="1"/>
    <col min="24" max="26" width="12.28515625" style="84" hidden="1" customWidth="1"/>
    <col min="27" max="16384" width="12.28515625" style="84"/>
  </cols>
  <sheetData>
    <row r="4" spans="1:19" x14ac:dyDescent="0.2">
      <c r="A4" s="83" t="s">
        <v>81</v>
      </c>
    </row>
    <row r="5" spans="1:19" ht="13.5" thickBot="1" x14ac:dyDescent="0.25">
      <c r="C5" s="85"/>
      <c r="D5" s="85"/>
      <c r="E5" s="85"/>
      <c r="F5" s="85"/>
      <c r="G5" s="85"/>
      <c r="H5" s="85"/>
      <c r="I5" s="85"/>
      <c r="J5" s="85"/>
      <c r="K5" s="85"/>
      <c r="L5" s="85"/>
      <c r="M5" s="85"/>
      <c r="N5" s="85"/>
      <c r="O5" s="85"/>
      <c r="P5" s="86"/>
      <c r="Q5" s="86"/>
    </row>
    <row r="6" spans="1:19" ht="13.5" thickBot="1" x14ac:dyDescent="0.25">
      <c r="B6" s="87" t="s">
        <v>82</v>
      </c>
      <c r="C6" s="88">
        <v>41638</v>
      </c>
      <c r="D6" s="89">
        <v>40208</v>
      </c>
      <c r="E6" s="89">
        <v>40236</v>
      </c>
      <c r="F6" s="89">
        <v>40267</v>
      </c>
      <c r="G6" s="89">
        <v>40297</v>
      </c>
      <c r="H6" s="89">
        <v>40328</v>
      </c>
      <c r="I6" s="89">
        <v>40358</v>
      </c>
      <c r="J6" s="89">
        <v>40389</v>
      </c>
      <c r="K6" s="89">
        <v>40420</v>
      </c>
      <c r="L6" s="89">
        <v>40450</v>
      </c>
      <c r="M6" s="89">
        <v>40481</v>
      </c>
      <c r="N6" s="89">
        <v>40511</v>
      </c>
      <c r="O6" s="89">
        <v>40542</v>
      </c>
      <c r="P6" s="88">
        <v>42003</v>
      </c>
      <c r="Q6" s="88">
        <v>42368</v>
      </c>
    </row>
    <row r="7" spans="1:19" x14ac:dyDescent="0.2">
      <c r="A7" s="83"/>
      <c r="C7" s="90"/>
      <c r="D7" s="91"/>
      <c r="E7" s="91"/>
      <c r="F7" s="91"/>
      <c r="G7" s="91"/>
      <c r="H7" s="91"/>
      <c r="I7" s="91"/>
      <c r="J7" s="91"/>
      <c r="K7" s="91"/>
      <c r="L7" s="91"/>
      <c r="M7" s="91"/>
      <c r="N7" s="91"/>
      <c r="O7" s="91"/>
      <c r="P7" s="92"/>
      <c r="Q7" s="92"/>
    </row>
    <row r="8" spans="1:19" x14ac:dyDescent="0.2">
      <c r="A8" s="83"/>
      <c r="B8" s="93" t="s">
        <v>83</v>
      </c>
      <c r="C8" s="94" t="s">
        <v>84</v>
      </c>
      <c r="D8" s="95" t="s">
        <v>85</v>
      </c>
      <c r="E8" s="95"/>
      <c r="F8" s="95" t="s">
        <v>86</v>
      </c>
      <c r="G8" s="95"/>
      <c r="H8" s="95"/>
      <c r="I8" s="95"/>
      <c r="J8" s="95"/>
      <c r="K8" s="95"/>
      <c r="L8" s="95"/>
      <c r="M8" s="95"/>
      <c r="N8" s="95"/>
      <c r="O8" s="95"/>
      <c r="P8" s="95" t="s">
        <v>85</v>
      </c>
      <c r="Q8" s="95" t="s">
        <v>86</v>
      </c>
    </row>
    <row r="9" spans="1:19" x14ac:dyDescent="0.2">
      <c r="A9" s="83"/>
      <c r="C9" s="90"/>
      <c r="D9" s="91"/>
      <c r="E9" s="91"/>
      <c r="F9" s="91"/>
      <c r="G9" s="91"/>
      <c r="H9" s="91"/>
      <c r="I9" s="91"/>
      <c r="J9" s="91"/>
      <c r="K9" s="91"/>
      <c r="L9" s="91"/>
      <c r="M9" s="91"/>
      <c r="N9" s="91"/>
      <c r="O9" s="91"/>
      <c r="P9" s="92"/>
      <c r="Q9" s="92"/>
    </row>
    <row r="10" spans="1:19" x14ac:dyDescent="0.2">
      <c r="A10" s="83"/>
      <c r="C10" s="90"/>
      <c r="D10" s="91"/>
      <c r="E10" s="91"/>
      <c r="F10" s="91"/>
      <c r="G10" s="91"/>
      <c r="H10" s="91"/>
      <c r="I10" s="91"/>
      <c r="J10" s="91"/>
      <c r="K10" s="91"/>
      <c r="L10" s="91"/>
      <c r="M10" s="91"/>
      <c r="N10" s="91"/>
      <c r="O10" s="91"/>
      <c r="P10" s="92"/>
      <c r="Q10" s="92"/>
    </row>
    <row r="11" spans="1:19" x14ac:dyDescent="0.2">
      <c r="A11" s="83" t="s">
        <v>87</v>
      </c>
      <c r="C11" s="90"/>
      <c r="D11" s="90"/>
      <c r="E11" s="90"/>
      <c r="F11" s="90"/>
      <c r="G11" s="90"/>
      <c r="H11" s="90"/>
      <c r="I11" s="90"/>
      <c r="J11" s="90"/>
      <c r="K11" s="90"/>
      <c r="L11" s="90"/>
      <c r="M11" s="90"/>
      <c r="N11" s="90"/>
      <c r="O11" s="90"/>
      <c r="P11" s="92"/>
      <c r="Q11" s="92"/>
    </row>
    <row r="12" spans="1:19" x14ac:dyDescent="0.2">
      <c r="B12" s="96" t="s">
        <v>88</v>
      </c>
      <c r="C12" s="97">
        <v>25000000</v>
      </c>
      <c r="D12" s="97">
        <v>115500</v>
      </c>
      <c r="E12" s="97">
        <v>441000</v>
      </c>
      <c r="F12" s="97">
        <v>441000</v>
      </c>
      <c r="G12" s="97">
        <v>840000</v>
      </c>
      <c r="H12" s="97">
        <v>1260000</v>
      </c>
      <c r="I12" s="97">
        <v>2835000</v>
      </c>
      <c r="J12" s="97">
        <v>4515000</v>
      </c>
      <c r="K12" s="97">
        <v>7140000</v>
      </c>
      <c r="L12" s="97">
        <v>12390000</v>
      </c>
      <c r="M12" s="97">
        <v>21000000</v>
      </c>
      <c r="N12" s="97">
        <v>26250000</v>
      </c>
      <c r="O12" s="97">
        <v>31500000</v>
      </c>
      <c r="P12" s="97">
        <v>109000000</v>
      </c>
      <c r="Q12" s="97">
        <v>750000000</v>
      </c>
      <c r="S12" s="98"/>
    </row>
    <row r="13" spans="1:19" x14ac:dyDescent="0.2">
      <c r="B13" s="96" t="s">
        <v>89</v>
      </c>
      <c r="C13" s="99">
        <v>0</v>
      </c>
      <c r="D13" s="99">
        <v>0</v>
      </c>
      <c r="E13" s="99">
        <v>0</v>
      </c>
      <c r="F13" s="99">
        <v>616000</v>
      </c>
      <c r="G13" s="99">
        <v>924000</v>
      </c>
      <c r="H13" s="99">
        <v>1540000</v>
      </c>
      <c r="I13" s="99">
        <v>3080000</v>
      </c>
      <c r="J13" s="99">
        <v>4620000</v>
      </c>
      <c r="K13" s="99">
        <v>6160000</v>
      </c>
      <c r="L13" s="99">
        <v>9240000</v>
      </c>
      <c r="M13" s="99">
        <v>12320000</v>
      </c>
      <c r="N13" s="99">
        <v>15400000</v>
      </c>
      <c r="O13" s="99">
        <v>18480000</v>
      </c>
      <c r="P13" s="97">
        <v>72000000</v>
      </c>
      <c r="Q13" s="97">
        <v>342000000</v>
      </c>
    </row>
    <row r="14" spans="1:19" x14ac:dyDescent="0.2">
      <c r="B14" s="96" t="s">
        <v>90</v>
      </c>
      <c r="C14" s="97">
        <v>0</v>
      </c>
      <c r="D14" s="97">
        <v>0</v>
      </c>
      <c r="E14" s="97">
        <v>0</v>
      </c>
      <c r="F14" s="97">
        <v>0</v>
      </c>
      <c r="G14" s="97">
        <v>625000</v>
      </c>
      <c r="H14" s="97">
        <v>1250000</v>
      </c>
      <c r="I14" s="97">
        <v>3125000</v>
      </c>
      <c r="J14" s="97">
        <v>4375000</v>
      </c>
      <c r="K14" s="97">
        <v>5625000</v>
      </c>
      <c r="L14" s="97">
        <v>6875000</v>
      </c>
      <c r="M14" s="97">
        <v>8125000</v>
      </c>
      <c r="N14" s="97">
        <v>9375000</v>
      </c>
      <c r="O14" s="97">
        <v>10625000</v>
      </c>
      <c r="P14" s="97">
        <v>50000000</v>
      </c>
      <c r="Q14" s="97">
        <v>225000000</v>
      </c>
    </row>
    <row r="15" spans="1:19" x14ac:dyDescent="0.2">
      <c r="B15" s="96" t="s">
        <v>91</v>
      </c>
      <c r="C15" s="97">
        <v>0</v>
      </c>
      <c r="D15" s="97">
        <v>0</v>
      </c>
      <c r="E15" s="97">
        <v>0</v>
      </c>
      <c r="F15" s="97">
        <v>0</v>
      </c>
      <c r="G15" s="97">
        <v>0</v>
      </c>
      <c r="H15" s="97">
        <v>0</v>
      </c>
      <c r="I15" s="97">
        <v>0</v>
      </c>
      <c r="J15" s="97">
        <v>0</v>
      </c>
      <c r="K15" s="97">
        <v>0</v>
      </c>
      <c r="L15" s="97">
        <v>0</v>
      </c>
      <c r="M15" s="97">
        <v>0</v>
      </c>
      <c r="N15" s="97">
        <v>0</v>
      </c>
      <c r="O15" s="97">
        <v>0</v>
      </c>
      <c r="P15" s="97">
        <v>0</v>
      </c>
      <c r="Q15" s="97">
        <v>240000000</v>
      </c>
    </row>
    <row r="16" spans="1:19" x14ac:dyDescent="0.2">
      <c r="B16" s="84" t="s">
        <v>92</v>
      </c>
      <c r="C16" s="97">
        <v>0</v>
      </c>
      <c r="D16" s="97">
        <v>0</v>
      </c>
      <c r="E16" s="97">
        <v>0</v>
      </c>
      <c r="F16" s="97">
        <v>0</v>
      </c>
      <c r="G16" s="97">
        <v>0</v>
      </c>
      <c r="H16" s="97">
        <v>0</v>
      </c>
      <c r="I16" s="97">
        <v>0</v>
      </c>
      <c r="J16" s="97">
        <v>0</v>
      </c>
      <c r="K16" s="97">
        <v>0</v>
      </c>
      <c r="L16" s="97">
        <v>0</v>
      </c>
      <c r="M16" s="97">
        <v>10000000</v>
      </c>
      <c r="N16" s="97">
        <v>10000000</v>
      </c>
      <c r="O16" s="97">
        <v>10000000</v>
      </c>
      <c r="P16" s="97">
        <v>30000000</v>
      </c>
      <c r="Q16" s="97">
        <v>120000000</v>
      </c>
    </row>
    <row r="17" spans="2:21" x14ac:dyDescent="0.2">
      <c r="B17" s="96" t="s">
        <v>72</v>
      </c>
      <c r="C17" s="97">
        <v>0</v>
      </c>
      <c r="D17" s="99" t="s">
        <v>73</v>
      </c>
      <c r="E17" s="99" t="s">
        <v>73</v>
      </c>
      <c r="F17" s="99" t="s">
        <v>73</v>
      </c>
      <c r="G17" s="99" t="s">
        <v>73</v>
      </c>
      <c r="H17" s="99" t="s">
        <v>73</v>
      </c>
      <c r="I17" s="99" t="s">
        <v>73</v>
      </c>
      <c r="J17" s="99" t="s">
        <v>73</v>
      </c>
      <c r="K17" s="99" t="s">
        <v>73</v>
      </c>
      <c r="L17" s="99" t="s">
        <v>73</v>
      </c>
      <c r="M17" s="99" t="s">
        <v>73</v>
      </c>
      <c r="N17" s="99" t="s">
        <v>73</v>
      </c>
      <c r="O17" s="99" t="s">
        <v>73</v>
      </c>
      <c r="P17" s="99" t="s">
        <v>73</v>
      </c>
      <c r="Q17" s="99" t="s">
        <v>73</v>
      </c>
    </row>
    <row r="18" spans="2:21" x14ac:dyDescent="0.2">
      <c r="B18" s="96"/>
      <c r="C18" s="97"/>
      <c r="D18" s="97"/>
      <c r="E18" s="97"/>
      <c r="F18" s="97"/>
      <c r="G18" s="97"/>
      <c r="H18" s="97"/>
      <c r="I18" s="97"/>
      <c r="J18" s="97"/>
      <c r="K18" s="97"/>
      <c r="L18" s="97"/>
      <c r="M18" s="97"/>
      <c r="N18" s="97"/>
      <c r="O18" s="97"/>
      <c r="P18" s="97"/>
      <c r="Q18" s="97"/>
    </row>
    <row r="19" spans="2:21" ht="13.5" thickBot="1" x14ac:dyDescent="0.25">
      <c r="B19" s="100"/>
      <c r="C19" s="101"/>
      <c r="D19" s="101"/>
      <c r="E19" s="101"/>
      <c r="F19" s="101"/>
      <c r="G19" s="101"/>
      <c r="H19" s="101"/>
      <c r="I19" s="101"/>
      <c r="J19" s="101"/>
      <c r="K19" s="101"/>
      <c r="L19" s="101"/>
      <c r="M19" s="101"/>
      <c r="N19" s="101"/>
      <c r="O19" s="101"/>
      <c r="P19" s="101"/>
      <c r="Q19" s="101"/>
    </row>
    <row r="20" spans="2:21" s="105" customFormat="1" ht="15.75" thickTop="1" x14ac:dyDescent="0.2">
      <c r="B20" s="102" t="s">
        <v>93</v>
      </c>
      <c r="C20" s="103">
        <v>25000000</v>
      </c>
      <c r="D20" s="97">
        <v>115500</v>
      </c>
      <c r="E20" s="97">
        <v>441000</v>
      </c>
      <c r="F20" s="97">
        <v>1057000</v>
      </c>
      <c r="G20" s="97">
        <v>2389000</v>
      </c>
      <c r="H20" s="97">
        <v>4050000</v>
      </c>
      <c r="I20" s="97">
        <v>9040000</v>
      </c>
      <c r="J20" s="97">
        <v>13510000</v>
      </c>
      <c r="K20" s="97">
        <v>18925000</v>
      </c>
      <c r="L20" s="97">
        <v>28505000</v>
      </c>
      <c r="M20" s="97">
        <v>51445000</v>
      </c>
      <c r="N20" s="97">
        <v>61025000</v>
      </c>
      <c r="O20" s="97">
        <v>70605000</v>
      </c>
      <c r="P20" s="104">
        <v>261000000</v>
      </c>
      <c r="Q20" s="104">
        <v>1680000000</v>
      </c>
    </row>
    <row r="21" spans="2:21" x14ac:dyDescent="0.2">
      <c r="B21" s="106" t="s">
        <v>94</v>
      </c>
      <c r="C21" s="97"/>
      <c r="D21" s="97"/>
      <c r="E21" s="97"/>
      <c r="F21" s="97"/>
      <c r="G21" s="97"/>
      <c r="H21" s="97"/>
      <c r="I21" s="97"/>
      <c r="J21" s="97"/>
      <c r="K21" s="97"/>
      <c r="L21" s="97"/>
      <c r="M21" s="97"/>
      <c r="N21" s="97"/>
      <c r="O21" s="97"/>
      <c r="P21" s="97"/>
      <c r="Q21" s="97"/>
      <c r="S21" s="107" t="s">
        <v>95</v>
      </c>
      <c r="T21" s="108">
        <v>2014</v>
      </c>
      <c r="U21" s="108">
        <v>2015</v>
      </c>
    </row>
    <row r="22" spans="2:21" ht="15" x14ac:dyDescent="0.25">
      <c r="B22" s="109" t="s">
        <v>96</v>
      </c>
      <c r="C22" s="97">
        <v>0</v>
      </c>
      <c r="D22" s="97">
        <v>57750</v>
      </c>
      <c r="E22" s="97">
        <v>220500</v>
      </c>
      <c r="F22" s="97">
        <v>220500</v>
      </c>
      <c r="G22" s="97">
        <v>420000</v>
      </c>
      <c r="H22" s="97">
        <v>630000</v>
      </c>
      <c r="I22" s="97">
        <v>1417500</v>
      </c>
      <c r="J22" s="97">
        <v>2257500</v>
      </c>
      <c r="K22" s="97">
        <v>3570000</v>
      </c>
      <c r="L22" s="97">
        <v>6195000</v>
      </c>
      <c r="M22" s="97">
        <v>10500000</v>
      </c>
      <c r="N22" s="97">
        <v>13125000</v>
      </c>
      <c r="O22" s="97">
        <v>15750000</v>
      </c>
      <c r="P22" s="97">
        <v>54000000</v>
      </c>
      <c r="Q22" s="97">
        <v>338000000</v>
      </c>
      <c r="S22" s="109" t="s">
        <v>96</v>
      </c>
      <c r="T22" s="110">
        <v>0.5</v>
      </c>
      <c r="U22" s="110">
        <v>0.45</v>
      </c>
    </row>
    <row r="23" spans="2:21" ht="15" x14ac:dyDescent="0.25">
      <c r="B23" s="109" t="s">
        <v>97</v>
      </c>
      <c r="C23" s="97">
        <v>0</v>
      </c>
      <c r="D23" s="97">
        <v>0</v>
      </c>
      <c r="E23" s="97">
        <v>0</v>
      </c>
      <c r="F23" s="97">
        <v>184800</v>
      </c>
      <c r="G23" s="97">
        <v>277200</v>
      </c>
      <c r="H23" s="97">
        <v>462000</v>
      </c>
      <c r="I23" s="97">
        <v>924000</v>
      </c>
      <c r="J23" s="97">
        <v>1386000</v>
      </c>
      <c r="K23" s="97">
        <v>1848000</v>
      </c>
      <c r="L23" s="97">
        <v>2772000</v>
      </c>
      <c r="M23" s="97">
        <v>3696000</v>
      </c>
      <c r="N23" s="97">
        <v>4620000</v>
      </c>
      <c r="O23" s="97">
        <v>5544000</v>
      </c>
      <c r="P23" s="97">
        <v>22000000</v>
      </c>
      <c r="Q23" s="97">
        <v>103000000</v>
      </c>
      <c r="S23" s="109" t="s">
        <v>97</v>
      </c>
      <c r="T23" s="110">
        <v>0.3</v>
      </c>
      <c r="U23" s="110">
        <v>0.3</v>
      </c>
    </row>
    <row r="24" spans="2:21" ht="15" x14ac:dyDescent="0.25">
      <c r="B24" s="109" t="s">
        <v>98</v>
      </c>
      <c r="C24" s="97">
        <v>0</v>
      </c>
      <c r="D24" s="97">
        <v>0</v>
      </c>
      <c r="E24" s="97">
        <v>0</v>
      </c>
      <c r="F24" s="97">
        <v>0</v>
      </c>
      <c r="G24" s="97">
        <v>187500</v>
      </c>
      <c r="H24" s="97">
        <v>375000</v>
      </c>
      <c r="I24" s="97">
        <v>937500</v>
      </c>
      <c r="J24" s="97">
        <v>1312500</v>
      </c>
      <c r="K24" s="97">
        <v>1687500</v>
      </c>
      <c r="L24" s="97">
        <v>2062500</v>
      </c>
      <c r="M24" s="97">
        <v>2437500</v>
      </c>
      <c r="N24" s="97">
        <v>2812500</v>
      </c>
      <c r="O24" s="97">
        <v>3187500</v>
      </c>
      <c r="P24" s="97">
        <v>15000000</v>
      </c>
      <c r="Q24" s="97">
        <v>68000000</v>
      </c>
      <c r="S24" s="109" t="s">
        <v>98</v>
      </c>
      <c r="T24" s="110">
        <v>0.3</v>
      </c>
      <c r="U24" s="110">
        <v>0.3</v>
      </c>
    </row>
    <row r="25" spans="2:21" ht="15" x14ac:dyDescent="0.25">
      <c r="B25" s="109" t="s">
        <v>99</v>
      </c>
      <c r="C25" s="97">
        <v>0</v>
      </c>
      <c r="D25" s="97">
        <v>0</v>
      </c>
      <c r="E25" s="97">
        <v>0</v>
      </c>
      <c r="F25" s="97">
        <v>0</v>
      </c>
      <c r="G25" s="97">
        <v>0</v>
      </c>
      <c r="H25" s="97">
        <v>0</v>
      </c>
      <c r="I25" s="97">
        <v>0</v>
      </c>
      <c r="J25" s="97">
        <v>0</v>
      </c>
      <c r="K25" s="97">
        <v>0</v>
      </c>
      <c r="L25" s="97">
        <v>0</v>
      </c>
      <c r="M25" s="97">
        <v>0</v>
      </c>
      <c r="N25" s="97">
        <v>0</v>
      </c>
      <c r="O25" s="97">
        <v>0</v>
      </c>
      <c r="P25" s="97">
        <v>0</v>
      </c>
      <c r="Q25" s="97">
        <v>72000000</v>
      </c>
      <c r="S25" s="109" t="s">
        <v>99</v>
      </c>
      <c r="T25" s="110">
        <v>0.3</v>
      </c>
      <c r="U25" s="110">
        <v>0.3</v>
      </c>
    </row>
    <row r="26" spans="2:21" ht="15" x14ac:dyDescent="0.25">
      <c r="B26" s="109" t="s">
        <v>100</v>
      </c>
      <c r="C26" s="97">
        <v>0</v>
      </c>
      <c r="D26" s="97">
        <v>0</v>
      </c>
      <c r="E26" s="97">
        <v>0</v>
      </c>
      <c r="F26" s="97">
        <v>0</v>
      </c>
      <c r="G26" s="97">
        <v>0</v>
      </c>
      <c r="H26" s="97">
        <v>0</v>
      </c>
      <c r="I26" s="97">
        <v>0</v>
      </c>
      <c r="J26" s="97">
        <v>0</v>
      </c>
      <c r="K26" s="97">
        <v>0</v>
      </c>
      <c r="L26" s="97">
        <v>0</v>
      </c>
      <c r="M26" s="97">
        <v>1500000</v>
      </c>
      <c r="N26" s="97">
        <v>1500000</v>
      </c>
      <c r="O26" s="97">
        <v>1500000</v>
      </c>
      <c r="P26" s="97">
        <v>5000000</v>
      </c>
      <c r="Q26" s="97">
        <v>18000000</v>
      </c>
      <c r="S26" s="109" t="s">
        <v>100</v>
      </c>
      <c r="T26" s="110">
        <v>0.15</v>
      </c>
      <c r="U26" s="110">
        <v>0.15</v>
      </c>
    </row>
    <row r="27" spans="2:21" x14ac:dyDescent="0.2">
      <c r="B27" s="109" t="s">
        <v>72</v>
      </c>
      <c r="C27" s="97">
        <v>0</v>
      </c>
      <c r="D27" s="99" t="s">
        <v>73</v>
      </c>
      <c r="E27" s="99" t="s">
        <v>73</v>
      </c>
      <c r="F27" s="99" t="s">
        <v>73</v>
      </c>
      <c r="G27" s="99" t="s">
        <v>73</v>
      </c>
      <c r="H27" s="99" t="s">
        <v>73</v>
      </c>
      <c r="I27" s="99" t="s">
        <v>73</v>
      </c>
      <c r="J27" s="99" t="s">
        <v>73</v>
      </c>
      <c r="K27" s="99" t="s">
        <v>73</v>
      </c>
      <c r="L27" s="99" t="s">
        <v>73</v>
      </c>
      <c r="M27" s="99" t="s">
        <v>73</v>
      </c>
      <c r="N27" s="99" t="s">
        <v>73</v>
      </c>
      <c r="O27" s="99" t="s">
        <v>73</v>
      </c>
      <c r="P27" s="99" t="s">
        <v>73</v>
      </c>
      <c r="Q27" s="99" t="s">
        <v>73</v>
      </c>
    </row>
    <row r="28" spans="2:21" x14ac:dyDescent="0.2">
      <c r="B28" s="111" t="s">
        <v>101</v>
      </c>
      <c r="C28" s="112">
        <v>0</v>
      </c>
      <c r="D28" s="112">
        <v>57750</v>
      </c>
      <c r="E28" s="112">
        <v>220500</v>
      </c>
      <c r="F28" s="112">
        <v>405300</v>
      </c>
      <c r="G28" s="112">
        <v>884700</v>
      </c>
      <c r="H28" s="112">
        <v>1467000</v>
      </c>
      <c r="I28" s="112">
        <v>3279000</v>
      </c>
      <c r="J28" s="112">
        <v>4956000</v>
      </c>
      <c r="K28" s="112">
        <v>7105500</v>
      </c>
      <c r="L28" s="112">
        <v>11029500</v>
      </c>
      <c r="M28" s="112">
        <v>18133500</v>
      </c>
      <c r="N28" s="112">
        <v>22057500</v>
      </c>
      <c r="O28" s="112">
        <v>25981500</v>
      </c>
      <c r="P28" s="112">
        <v>96000000</v>
      </c>
      <c r="Q28" s="112">
        <v>599000000</v>
      </c>
      <c r="T28" s="98"/>
      <c r="U28" s="98"/>
    </row>
    <row r="29" spans="2:21" x14ac:dyDescent="0.2">
      <c r="B29" s="106"/>
      <c r="C29" s="113"/>
      <c r="D29" s="97"/>
      <c r="E29" s="97"/>
      <c r="F29" s="97"/>
      <c r="G29" s="97"/>
      <c r="H29" s="97"/>
      <c r="I29" s="97"/>
      <c r="J29" s="97"/>
      <c r="K29" s="97"/>
      <c r="L29" s="97"/>
      <c r="M29" s="97"/>
      <c r="N29" s="97"/>
      <c r="O29" s="97"/>
      <c r="P29" s="97"/>
      <c r="Q29" s="97"/>
    </row>
    <row r="30" spans="2:21" x14ac:dyDescent="0.2">
      <c r="B30" s="106"/>
      <c r="C30" s="97"/>
      <c r="D30" s="97"/>
      <c r="E30" s="97"/>
      <c r="F30" s="97"/>
      <c r="G30" s="97"/>
      <c r="H30" s="97"/>
      <c r="I30" s="97"/>
      <c r="J30" s="97"/>
      <c r="K30" s="97"/>
      <c r="L30" s="97"/>
      <c r="M30" s="97"/>
      <c r="N30" s="97"/>
      <c r="O30" s="97"/>
      <c r="P30" s="97"/>
      <c r="Q30" s="97"/>
    </row>
    <row r="31" spans="2:21" ht="13.5" thickBot="1" x14ac:dyDescent="0.25">
      <c r="B31" s="114" t="s">
        <v>102</v>
      </c>
      <c r="C31" s="115">
        <v>25000000</v>
      </c>
      <c r="D31" s="116">
        <v>57750</v>
      </c>
      <c r="E31" s="116">
        <v>220500</v>
      </c>
      <c r="F31" s="116">
        <v>651700</v>
      </c>
      <c r="G31" s="116">
        <v>1504300</v>
      </c>
      <c r="H31" s="116">
        <v>2583000</v>
      </c>
      <c r="I31" s="116">
        <v>5761000</v>
      </c>
      <c r="J31" s="116">
        <v>8554000</v>
      </c>
      <c r="K31" s="116">
        <v>11819500</v>
      </c>
      <c r="L31" s="116">
        <v>17475500</v>
      </c>
      <c r="M31" s="116">
        <v>33311500</v>
      </c>
      <c r="N31" s="116">
        <v>38967500</v>
      </c>
      <c r="O31" s="116">
        <v>44623500</v>
      </c>
      <c r="P31" s="115">
        <v>165000000</v>
      </c>
      <c r="Q31" s="115">
        <v>1081000000</v>
      </c>
      <c r="T31" s="98"/>
      <c r="U31" s="98"/>
    </row>
    <row r="32" spans="2:21" s="119" customFormat="1" x14ac:dyDescent="0.2">
      <c r="B32" s="117"/>
      <c r="C32" s="118"/>
      <c r="D32" s="118"/>
      <c r="E32" s="118"/>
      <c r="F32" s="118"/>
      <c r="G32" s="118"/>
      <c r="H32" s="118"/>
      <c r="I32" s="118"/>
      <c r="J32" s="118"/>
      <c r="K32" s="118"/>
      <c r="L32" s="118"/>
      <c r="M32" s="118"/>
      <c r="N32" s="118"/>
      <c r="O32" s="118"/>
      <c r="P32" s="97"/>
      <c r="Q32" s="97"/>
    </row>
    <row r="33" spans="1:26" s="119" customFormat="1" x14ac:dyDescent="0.2">
      <c r="B33" s="117"/>
      <c r="C33" s="118"/>
      <c r="D33" s="118"/>
      <c r="E33" s="118"/>
      <c r="F33" s="118"/>
      <c r="G33" s="118"/>
      <c r="H33" s="118"/>
      <c r="I33" s="118"/>
      <c r="J33" s="118"/>
      <c r="K33" s="118"/>
      <c r="L33" s="118"/>
      <c r="M33" s="118"/>
      <c r="N33" s="118"/>
      <c r="O33" s="118"/>
      <c r="P33" s="97"/>
      <c r="Q33" s="97"/>
    </row>
    <row r="34" spans="1:26" x14ac:dyDescent="0.2">
      <c r="A34" s="83" t="s">
        <v>103</v>
      </c>
      <c r="C34" s="120"/>
      <c r="D34" s="120"/>
      <c r="E34" s="120"/>
      <c r="F34" s="120"/>
      <c r="G34" s="120"/>
      <c r="H34" s="120"/>
      <c r="I34" s="120"/>
      <c r="J34" s="120"/>
      <c r="K34" s="120"/>
      <c r="L34" s="120"/>
      <c r="M34" s="120"/>
      <c r="N34" s="120"/>
      <c r="O34" s="120"/>
      <c r="P34" s="97"/>
      <c r="Q34" s="97"/>
      <c r="X34" s="107" t="s">
        <v>104</v>
      </c>
      <c r="Y34" s="121">
        <v>2014</v>
      </c>
      <c r="Z34" s="121">
        <v>2015</v>
      </c>
    </row>
    <row r="35" spans="1:26" x14ac:dyDescent="0.2">
      <c r="B35" s="96" t="s">
        <v>105</v>
      </c>
      <c r="C35" s="97">
        <v>-55000000</v>
      </c>
      <c r="D35" s="97">
        <v>-5500000</v>
      </c>
      <c r="E35" s="97">
        <v>-5800000</v>
      </c>
      <c r="F35" s="97">
        <v>-6100000</v>
      </c>
      <c r="G35" s="97">
        <v>-6400000</v>
      </c>
      <c r="H35" s="97">
        <v>-6700000</v>
      </c>
      <c r="I35" s="97">
        <v>-7000000</v>
      </c>
      <c r="J35" s="97">
        <v>-7400000</v>
      </c>
      <c r="K35" s="97">
        <v>-7800000</v>
      </c>
      <c r="L35" s="97">
        <v>-8200000</v>
      </c>
      <c r="M35" s="97">
        <v>-8600000</v>
      </c>
      <c r="N35" s="97">
        <v>-11700000</v>
      </c>
      <c r="O35" s="97">
        <v>-13600000</v>
      </c>
      <c r="P35" s="97">
        <v>-95000000</v>
      </c>
      <c r="Q35" s="97">
        <v>-270000000</v>
      </c>
      <c r="Y35" s="98">
        <v>-0.35</v>
      </c>
      <c r="Z35" s="98">
        <v>-0.25</v>
      </c>
    </row>
    <row r="36" spans="1:26" x14ac:dyDescent="0.2">
      <c r="B36" s="96" t="s">
        <v>106</v>
      </c>
      <c r="C36" s="97">
        <v>-2500000</v>
      </c>
      <c r="D36" s="97">
        <v>-400000</v>
      </c>
      <c r="E36" s="97">
        <v>-440000</v>
      </c>
      <c r="F36" s="97">
        <v>-480000</v>
      </c>
      <c r="G36" s="97">
        <v>-530000</v>
      </c>
      <c r="H36" s="97">
        <v>-580000</v>
      </c>
      <c r="I36" s="97">
        <v>-640000</v>
      </c>
      <c r="J36" s="97">
        <v>-700000</v>
      </c>
      <c r="K36" s="97">
        <v>-1000000</v>
      </c>
      <c r="L36" s="97">
        <v>-1400000</v>
      </c>
      <c r="M36" s="97">
        <v>-2100000</v>
      </c>
      <c r="N36" s="97">
        <v>-4000000</v>
      </c>
      <c r="O36" s="97">
        <v>-4700000</v>
      </c>
      <c r="P36" s="97">
        <v>-17000000</v>
      </c>
      <c r="Q36" s="97">
        <v>-80000000</v>
      </c>
      <c r="Y36" s="98">
        <v>-0.12</v>
      </c>
      <c r="Z36" s="122">
        <v>-0.08</v>
      </c>
    </row>
    <row r="37" spans="1:26" x14ac:dyDescent="0.2">
      <c r="B37" s="96" t="s">
        <v>107</v>
      </c>
      <c r="C37" s="97">
        <v>-1500000</v>
      </c>
      <c r="D37" s="97">
        <v>-300000</v>
      </c>
      <c r="E37" s="97">
        <v>-300000</v>
      </c>
      <c r="F37" s="97">
        <v>-300000</v>
      </c>
      <c r="G37" s="97">
        <v>-300000</v>
      </c>
      <c r="H37" s="97">
        <v>-300000</v>
      </c>
      <c r="I37" s="97">
        <v>-300000</v>
      </c>
      <c r="J37" s="97">
        <v>-580000</v>
      </c>
      <c r="K37" s="97">
        <v>-860000</v>
      </c>
      <c r="L37" s="97">
        <v>-1180000</v>
      </c>
      <c r="M37" s="97">
        <v>-1750000</v>
      </c>
      <c r="N37" s="97">
        <v>-3330000</v>
      </c>
      <c r="O37" s="97">
        <v>-3900000</v>
      </c>
      <c r="P37" s="97">
        <v>-13000000</v>
      </c>
      <c r="Q37" s="97">
        <v>-60000000</v>
      </c>
      <c r="Y37" s="98">
        <v>-0.1</v>
      </c>
      <c r="Z37" s="98">
        <v>-0.06</v>
      </c>
    </row>
    <row r="38" spans="1:26" x14ac:dyDescent="0.2">
      <c r="B38" s="84" t="s">
        <v>108</v>
      </c>
      <c r="C38" s="97">
        <v>-7000000</v>
      </c>
      <c r="D38" s="97">
        <v>-1200000</v>
      </c>
      <c r="E38" s="97">
        <v>-1320000</v>
      </c>
      <c r="F38" s="97">
        <v>-1450000</v>
      </c>
      <c r="G38" s="97">
        <v>-1600000</v>
      </c>
      <c r="H38" s="97">
        <v>-1760000</v>
      </c>
      <c r="I38" s="97">
        <v>-1940000</v>
      </c>
      <c r="J38" s="97">
        <v>-2130000</v>
      </c>
      <c r="K38" s="97">
        <v>-2600000</v>
      </c>
      <c r="L38" s="97">
        <v>-3500000</v>
      </c>
      <c r="M38" s="97">
        <v>-5200000</v>
      </c>
      <c r="N38" s="97">
        <v>-10000000</v>
      </c>
      <c r="O38" s="97">
        <v>-11700000</v>
      </c>
      <c r="P38" s="97">
        <v>-44000000</v>
      </c>
      <c r="Q38" s="97">
        <v>-160000000</v>
      </c>
      <c r="Y38" s="98">
        <v>-0.3</v>
      </c>
      <c r="Z38" s="98">
        <v>-0.15</v>
      </c>
    </row>
    <row r="39" spans="1:26" x14ac:dyDescent="0.2">
      <c r="B39" s="84" t="s">
        <v>109</v>
      </c>
      <c r="C39" s="97">
        <v>-18000000</v>
      </c>
      <c r="D39" s="97">
        <v>-1500000</v>
      </c>
      <c r="E39" s="97">
        <v>-1650000</v>
      </c>
      <c r="F39" s="97">
        <v>-1820000</v>
      </c>
      <c r="G39" s="97">
        <v>-2000000</v>
      </c>
      <c r="H39" s="97">
        <v>-2200000</v>
      </c>
      <c r="I39" s="97">
        <v>-2420000</v>
      </c>
      <c r="J39" s="97">
        <v>-2660000</v>
      </c>
      <c r="K39" s="97">
        <v>-2900000</v>
      </c>
      <c r="L39" s="97">
        <v>-3200000</v>
      </c>
      <c r="M39" s="97">
        <v>-3500000</v>
      </c>
      <c r="N39" s="97">
        <v>-3900000</v>
      </c>
      <c r="O39" s="97">
        <v>-4300000</v>
      </c>
      <c r="P39" s="97">
        <v>-32000000</v>
      </c>
      <c r="Q39" s="97">
        <v>-100000000</v>
      </c>
      <c r="Y39" s="98">
        <v>-0.1</v>
      </c>
      <c r="Z39" s="98">
        <v>-0.1</v>
      </c>
    </row>
    <row r="40" spans="1:26" ht="13.5" thickBot="1" x14ac:dyDescent="0.25">
      <c r="B40" s="87" t="s">
        <v>110</v>
      </c>
      <c r="C40" s="123">
        <v>-84000000</v>
      </c>
      <c r="D40" s="97">
        <v>-8900000</v>
      </c>
      <c r="E40" s="97">
        <v>-9510000</v>
      </c>
      <c r="F40" s="97">
        <v>-10150000</v>
      </c>
      <c r="G40" s="97">
        <v>-10830000</v>
      </c>
      <c r="H40" s="97">
        <v>-11540000</v>
      </c>
      <c r="I40" s="97">
        <v>-12300000</v>
      </c>
      <c r="J40" s="97">
        <v>-13470000</v>
      </c>
      <c r="K40" s="97">
        <v>-15160000</v>
      </c>
      <c r="L40" s="97">
        <v>-17480000</v>
      </c>
      <c r="M40" s="97">
        <v>-21150000</v>
      </c>
      <c r="N40" s="97">
        <v>-32930000</v>
      </c>
      <c r="O40" s="97">
        <v>-38200000</v>
      </c>
      <c r="P40" s="123">
        <v>-201000000</v>
      </c>
      <c r="Q40" s="123">
        <v>-670000000</v>
      </c>
      <c r="Y40" s="124">
        <v>-0.96999999999999986</v>
      </c>
      <c r="Z40" s="124">
        <v>-0.64</v>
      </c>
    </row>
    <row r="41" spans="1:26" x14ac:dyDescent="0.2">
      <c r="B41" s="125"/>
      <c r="C41" s="126"/>
      <c r="D41" s="126"/>
      <c r="E41" s="126"/>
      <c r="F41" s="126"/>
      <c r="G41" s="126"/>
      <c r="H41" s="126"/>
      <c r="I41" s="126"/>
      <c r="J41" s="126"/>
      <c r="K41" s="126"/>
      <c r="L41" s="126"/>
      <c r="M41" s="126"/>
      <c r="N41" s="126"/>
      <c r="O41" s="126"/>
      <c r="P41" s="126"/>
      <c r="Q41" s="126"/>
      <c r="W41" s="98"/>
    </row>
    <row r="42" spans="1:26" s="127" customFormat="1" x14ac:dyDescent="0.2">
      <c r="B42" s="128" t="s">
        <v>111</v>
      </c>
      <c r="C42" s="129">
        <v>-59000000</v>
      </c>
      <c r="D42" s="129">
        <v>-8842250</v>
      </c>
      <c r="E42" s="129">
        <v>-9289500</v>
      </c>
      <c r="F42" s="129">
        <v>-9498300</v>
      </c>
      <c r="G42" s="129">
        <v>-9325700</v>
      </c>
      <c r="H42" s="129">
        <v>-8957000</v>
      </c>
      <c r="I42" s="129">
        <v>-6539000</v>
      </c>
      <c r="J42" s="129">
        <v>-4916000</v>
      </c>
      <c r="K42" s="129">
        <v>-3340500</v>
      </c>
      <c r="L42" s="129">
        <v>-4500</v>
      </c>
      <c r="M42" s="129">
        <v>12161500</v>
      </c>
      <c r="N42" s="129">
        <v>6037500</v>
      </c>
      <c r="O42" s="129">
        <v>6423500</v>
      </c>
      <c r="P42" s="129">
        <v>-36000000</v>
      </c>
      <c r="Q42" s="129">
        <v>411000000</v>
      </c>
      <c r="Y42" s="130">
        <v>-0.13793103448275862</v>
      </c>
      <c r="Z42" s="130">
        <v>0.24464285714285713</v>
      </c>
    </row>
    <row r="44" spans="1:26" x14ac:dyDescent="0.2">
      <c r="A44" s="83" t="s">
        <v>112</v>
      </c>
    </row>
    <row r="45" spans="1:26" s="131" customFormat="1" x14ac:dyDescent="0.2">
      <c r="B45" s="106" t="s">
        <v>113</v>
      </c>
      <c r="C45" s="132">
        <v>-2000000</v>
      </c>
      <c r="D45" s="132">
        <v>-111458.33333333333</v>
      </c>
      <c r="E45" s="132">
        <v>-111458.33333333333</v>
      </c>
      <c r="F45" s="132">
        <v>-111458.33333333333</v>
      </c>
      <c r="G45" s="132">
        <v>-282291.66666666669</v>
      </c>
      <c r="H45" s="132">
        <v>-282291.66666666669</v>
      </c>
      <c r="I45" s="132">
        <v>-282291.66666666669</v>
      </c>
      <c r="J45" s="132">
        <v>-418750</v>
      </c>
      <c r="K45" s="132">
        <v>-418750</v>
      </c>
      <c r="L45" s="132">
        <v>-418750</v>
      </c>
      <c r="M45" s="132">
        <v>-635416.66666666663</v>
      </c>
      <c r="N45" s="132">
        <v>-635416.66666666663</v>
      </c>
      <c r="O45" s="132">
        <v>-635416.66666666663</v>
      </c>
      <c r="P45" s="132">
        <v>-4000000</v>
      </c>
      <c r="Q45" s="132">
        <v>-21000000</v>
      </c>
    </row>
    <row r="46" spans="1:26" s="127" customFormat="1" x14ac:dyDescent="0.2">
      <c r="B46" s="106" t="s">
        <v>114</v>
      </c>
      <c r="C46" s="132">
        <v>0</v>
      </c>
      <c r="D46" s="132"/>
      <c r="E46" s="132"/>
      <c r="F46" s="132"/>
      <c r="G46" s="132"/>
      <c r="H46" s="132"/>
      <c r="I46" s="132"/>
      <c r="J46" s="132"/>
      <c r="K46" s="132"/>
      <c r="L46" s="132"/>
      <c r="M46" s="132"/>
      <c r="N46" s="132"/>
      <c r="O46" s="132"/>
      <c r="P46" s="132">
        <v>0</v>
      </c>
      <c r="Q46" s="133" t="s">
        <v>73</v>
      </c>
    </row>
    <row r="47" spans="1:26" x14ac:dyDescent="0.2">
      <c r="C47" s="84"/>
      <c r="D47" s="84"/>
      <c r="E47" s="84"/>
      <c r="F47" s="84"/>
      <c r="G47" s="84"/>
      <c r="H47" s="84"/>
      <c r="I47" s="84"/>
      <c r="J47" s="84"/>
      <c r="K47" s="84"/>
      <c r="L47" s="84"/>
      <c r="M47" s="84"/>
      <c r="N47" s="84"/>
      <c r="O47" s="84"/>
      <c r="Q47" s="134"/>
    </row>
    <row r="48" spans="1:26" ht="13.5" thickBot="1" x14ac:dyDescent="0.25">
      <c r="B48" s="135" t="s">
        <v>115</v>
      </c>
      <c r="C48" s="136">
        <v>-61000000</v>
      </c>
      <c r="D48" s="137">
        <v>-8953708.333333334</v>
      </c>
      <c r="E48" s="137">
        <v>-9400958.333333334</v>
      </c>
      <c r="F48" s="137">
        <v>-9609758.333333334</v>
      </c>
      <c r="G48" s="137">
        <v>-9607991.666666666</v>
      </c>
      <c r="H48" s="137">
        <v>-9239291.666666666</v>
      </c>
      <c r="I48" s="137">
        <v>-6821291.666666667</v>
      </c>
      <c r="J48" s="137">
        <v>-5334750</v>
      </c>
      <c r="K48" s="137">
        <v>-3759250</v>
      </c>
      <c r="L48" s="137">
        <v>-423250</v>
      </c>
      <c r="M48" s="137">
        <v>11526083.333333334</v>
      </c>
      <c r="N48" s="137">
        <v>5402083.333333333</v>
      </c>
      <c r="O48" s="137">
        <v>5788083.333333333</v>
      </c>
      <c r="P48" s="136">
        <v>-40000000</v>
      </c>
      <c r="Q48" s="138" t="s">
        <v>73</v>
      </c>
    </row>
    <row r="49" spans="1:17" ht="13.5" thickTop="1" x14ac:dyDescent="0.2"/>
    <row r="50" spans="1:17" x14ac:dyDescent="0.2">
      <c r="D50" s="139"/>
      <c r="E50" s="139"/>
      <c r="F50" s="139"/>
      <c r="G50" s="139"/>
    </row>
    <row r="53" spans="1:17" s="83" customFormat="1" x14ac:dyDescent="0.2">
      <c r="A53" s="84"/>
      <c r="B53" s="84"/>
      <c r="P53" s="84"/>
      <c r="Q53" s="84"/>
    </row>
  </sheetData>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4:Q39"/>
  <sheetViews>
    <sheetView showGridLines="0" workbookViewId="0">
      <selection activeCell="Q9" sqref="Q9"/>
    </sheetView>
  </sheetViews>
  <sheetFormatPr defaultColWidth="12.28515625" defaultRowHeight="12.75" outlineLevelCol="1" x14ac:dyDescent="0.2"/>
  <cols>
    <col min="1" max="1" width="5.140625" style="84" customWidth="1"/>
    <col min="2" max="2" width="53.7109375" style="106" bestFit="1" customWidth="1"/>
    <col min="3" max="3" width="22.85546875" style="106" customWidth="1"/>
    <col min="4" max="15" width="22.85546875" style="106" hidden="1" customWidth="1" outlineLevel="1"/>
    <col min="16" max="16" width="20" style="84" bestFit="1" customWidth="1" collapsed="1"/>
    <col min="17" max="17" width="21" style="84" bestFit="1" customWidth="1"/>
    <col min="18" max="16384" width="12.28515625" style="84"/>
  </cols>
  <sheetData>
    <row r="4" spans="1:17" x14ac:dyDescent="0.2">
      <c r="A4" s="84" t="s">
        <v>116</v>
      </c>
      <c r="C4" s="125"/>
      <c r="D4" s="125"/>
      <c r="E4" s="125"/>
      <c r="F4" s="125"/>
      <c r="G4" s="125"/>
      <c r="H4" s="125"/>
      <c r="I4" s="125"/>
      <c r="J4" s="125"/>
      <c r="K4" s="125"/>
      <c r="L4" s="125"/>
      <c r="M4" s="125"/>
      <c r="N4" s="125"/>
      <c r="O4" s="125"/>
      <c r="P4" s="106"/>
    </row>
    <row r="5" spans="1:17" s="106" customFormat="1" ht="13.5" thickBot="1" x14ac:dyDescent="0.25">
      <c r="C5" s="140"/>
      <c r="D5" s="141"/>
      <c r="E5" s="141"/>
      <c r="F5" s="141"/>
      <c r="G5" s="141"/>
      <c r="H5" s="141"/>
      <c r="I5" s="141"/>
      <c r="J5" s="141"/>
      <c r="K5" s="141"/>
      <c r="L5" s="141"/>
      <c r="M5" s="141"/>
      <c r="N5" s="141"/>
      <c r="O5" s="141"/>
    </row>
    <row r="6" spans="1:17" ht="13.5" thickBot="1" x14ac:dyDescent="0.25">
      <c r="A6" s="142"/>
      <c r="B6" s="143" t="s">
        <v>82</v>
      </c>
      <c r="C6" s="144">
        <v>41638</v>
      </c>
      <c r="D6" s="145">
        <v>40208</v>
      </c>
      <c r="E6" s="89">
        <v>40236</v>
      </c>
      <c r="F6" s="89">
        <v>40267</v>
      </c>
      <c r="G6" s="89">
        <v>40297</v>
      </c>
      <c r="H6" s="89">
        <v>40328</v>
      </c>
      <c r="I6" s="89">
        <v>40358</v>
      </c>
      <c r="J6" s="89">
        <v>40389</v>
      </c>
      <c r="K6" s="89">
        <v>40420</v>
      </c>
      <c r="L6" s="89">
        <v>40450</v>
      </c>
      <c r="M6" s="89">
        <v>40481</v>
      </c>
      <c r="N6" s="89">
        <v>40511</v>
      </c>
      <c r="O6" s="146">
        <v>40542</v>
      </c>
      <c r="P6" s="147">
        <v>42003</v>
      </c>
      <c r="Q6" s="148">
        <v>42368</v>
      </c>
    </row>
    <row r="7" spans="1:17" x14ac:dyDescent="0.2">
      <c r="A7" s="149"/>
      <c r="C7" s="150"/>
      <c r="D7" s="151"/>
      <c r="E7" s="151"/>
      <c r="F7" s="151"/>
      <c r="G7" s="151"/>
      <c r="H7" s="151"/>
      <c r="I7" s="151"/>
      <c r="J7" s="151"/>
      <c r="K7" s="151"/>
      <c r="L7" s="151"/>
      <c r="M7" s="151"/>
      <c r="N7" s="151"/>
      <c r="O7" s="151"/>
      <c r="P7" s="106"/>
      <c r="Q7" s="152"/>
    </row>
    <row r="8" spans="1:17" ht="13.5" thickBot="1" x14ac:dyDescent="0.25">
      <c r="A8" s="149"/>
      <c r="B8" s="135" t="s">
        <v>117</v>
      </c>
      <c r="C8" s="153">
        <v>53500000</v>
      </c>
      <c r="D8" s="154">
        <v>105000000</v>
      </c>
      <c r="E8" s="154">
        <v>96000000</v>
      </c>
      <c r="F8" s="154">
        <v>87000000</v>
      </c>
      <c r="G8" s="154">
        <v>101000000</v>
      </c>
      <c r="H8" s="154">
        <v>89000000</v>
      </c>
      <c r="I8" s="154">
        <v>80000000</v>
      </c>
      <c r="J8" s="154">
        <v>72000000</v>
      </c>
      <c r="K8" s="154">
        <v>65000000</v>
      </c>
      <c r="L8" s="154">
        <v>58000000</v>
      </c>
      <c r="M8" s="154">
        <v>55000000</v>
      </c>
      <c r="N8" s="154">
        <v>61000000</v>
      </c>
      <c r="O8" s="154">
        <v>64000000</v>
      </c>
      <c r="P8" s="155">
        <v>105000000</v>
      </c>
      <c r="Q8" s="156">
        <v>68000000</v>
      </c>
    </row>
    <row r="9" spans="1:17" ht="13.5" thickTop="1" x14ac:dyDescent="0.2">
      <c r="A9" s="149"/>
      <c r="B9" s="157" t="s">
        <v>118</v>
      </c>
      <c r="C9" s="158">
        <v>-61000000</v>
      </c>
      <c r="D9" s="132">
        <v>-8842250</v>
      </c>
      <c r="E9" s="132">
        <v>-9289500</v>
      </c>
      <c r="F9" s="132">
        <v>-9498300</v>
      </c>
      <c r="G9" s="132">
        <v>-9325700</v>
      </c>
      <c r="H9" s="132">
        <v>-8957000</v>
      </c>
      <c r="I9" s="132">
        <v>-6539000</v>
      </c>
      <c r="J9" s="132">
        <v>-4916000</v>
      </c>
      <c r="K9" s="132">
        <v>-3340500</v>
      </c>
      <c r="L9" s="132">
        <v>-4500</v>
      </c>
      <c r="M9" s="132">
        <v>12161500</v>
      </c>
      <c r="N9" s="132">
        <v>6037500</v>
      </c>
      <c r="O9" s="132">
        <v>6423500</v>
      </c>
      <c r="P9" s="159">
        <v>-36000000</v>
      </c>
      <c r="Q9" s="160">
        <v>411000000</v>
      </c>
    </row>
    <row r="10" spans="1:17" x14ac:dyDescent="0.2">
      <c r="A10" s="149"/>
      <c r="B10" s="161" t="s">
        <v>119</v>
      </c>
      <c r="C10" s="162">
        <v>2000000</v>
      </c>
      <c r="D10" s="163">
        <v>111458.33333333333</v>
      </c>
      <c r="E10" s="163">
        <v>111458.33333333333</v>
      </c>
      <c r="F10" s="163">
        <v>111458.33333333333</v>
      </c>
      <c r="G10" s="163">
        <v>282291.66666666669</v>
      </c>
      <c r="H10" s="163">
        <v>282291.66666666669</v>
      </c>
      <c r="I10" s="163">
        <v>282291.66666666669</v>
      </c>
      <c r="J10" s="163">
        <v>418750</v>
      </c>
      <c r="K10" s="163">
        <v>418750</v>
      </c>
      <c r="L10" s="163">
        <v>418750</v>
      </c>
      <c r="M10" s="163">
        <v>635416.66666666663</v>
      </c>
      <c r="N10" s="163">
        <v>635416.66666666663</v>
      </c>
      <c r="O10" s="163">
        <v>635416.66666666663</v>
      </c>
      <c r="P10" s="163">
        <v>4000000</v>
      </c>
      <c r="Q10" s="160">
        <v>21000000</v>
      </c>
    </row>
    <row r="11" spans="1:17" x14ac:dyDescent="0.2">
      <c r="A11" s="149"/>
      <c r="B11" s="161" t="s">
        <v>120</v>
      </c>
      <c r="C11" s="162"/>
      <c r="D11" s="163"/>
      <c r="E11" s="163"/>
      <c r="F11" s="163"/>
      <c r="G11" s="163"/>
      <c r="H11" s="163"/>
      <c r="I11" s="163"/>
      <c r="J11" s="163"/>
      <c r="K11" s="163"/>
      <c r="L11" s="163"/>
      <c r="M11" s="163"/>
      <c r="N11" s="163"/>
      <c r="O11" s="163"/>
      <c r="P11" s="132"/>
      <c r="Q11" s="160"/>
    </row>
    <row r="12" spans="1:17" x14ac:dyDescent="0.2">
      <c r="A12" s="149"/>
      <c r="B12" s="161" t="s">
        <v>121</v>
      </c>
      <c r="C12" s="162">
        <v>75000000</v>
      </c>
      <c r="D12" s="163">
        <v>0</v>
      </c>
      <c r="F12" s="163">
        <v>0</v>
      </c>
      <c r="G12" s="163">
        <v>0</v>
      </c>
      <c r="H12" s="163">
        <v>0</v>
      </c>
      <c r="I12" s="163">
        <v>0</v>
      </c>
      <c r="J12" s="163">
        <v>0</v>
      </c>
      <c r="K12" s="163">
        <v>0</v>
      </c>
      <c r="L12" s="163">
        <v>0</v>
      </c>
      <c r="M12" s="163">
        <v>0</v>
      </c>
      <c r="N12" s="163">
        <v>0</v>
      </c>
      <c r="O12" s="163">
        <v>0</v>
      </c>
      <c r="P12" s="132">
        <v>0</v>
      </c>
      <c r="Q12" s="160">
        <v>0</v>
      </c>
    </row>
    <row r="13" spans="1:17" x14ac:dyDescent="0.2">
      <c r="A13" s="149"/>
      <c r="B13" s="161" t="s">
        <v>122</v>
      </c>
      <c r="C13" s="162">
        <v>0</v>
      </c>
      <c r="D13" s="163">
        <v>0</v>
      </c>
      <c r="E13" s="163">
        <v>0</v>
      </c>
      <c r="F13" s="163">
        <v>25000000</v>
      </c>
      <c r="G13" s="163">
        <v>0</v>
      </c>
      <c r="H13" s="163">
        <v>0</v>
      </c>
      <c r="J13" s="163">
        <v>0</v>
      </c>
      <c r="K13" s="163">
        <v>0</v>
      </c>
      <c r="L13" s="163">
        <v>0</v>
      </c>
      <c r="M13" s="163">
        <v>0</v>
      </c>
      <c r="N13" s="163">
        <v>0</v>
      </c>
      <c r="O13" s="163">
        <v>0</v>
      </c>
      <c r="P13" s="132">
        <v>25000000</v>
      </c>
      <c r="Q13" s="160">
        <v>0</v>
      </c>
    </row>
    <row r="14" spans="1:17" x14ac:dyDescent="0.2">
      <c r="A14" s="149"/>
      <c r="B14" s="161" t="s">
        <v>123</v>
      </c>
      <c r="C14" s="164" t="s">
        <v>73</v>
      </c>
      <c r="D14" s="165" t="s">
        <v>73</v>
      </c>
      <c r="E14" s="165" t="s">
        <v>73</v>
      </c>
      <c r="F14" s="165" t="s">
        <v>73</v>
      </c>
      <c r="G14" s="165" t="s">
        <v>73</v>
      </c>
      <c r="H14" s="165" t="s">
        <v>73</v>
      </c>
      <c r="I14" s="165" t="s">
        <v>73</v>
      </c>
      <c r="J14" s="165" t="s">
        <v>73</v>
      </c>
      <c r="K14" s="165" t="s">
        <v>73</v>
      </c>
      <c r="L14" s="165" t="s">
        <v>73</v>
      </c>
      <c r="M14" s="165" t="s">
        <v>73</v>
      </c>
      <c r="N14" s="165" t="s">
        <v>73</v>
      </c>
      <c r="O14" s="165" t="s">
        <v>73</v>
      </c>
      <c r="P14" s="166" t="s">
        <v>73</v>
      </c>
      <c r="Q14" s="167" t="s">
        <v>73</v>
      </c>
    </row>
    <row r="15" spans="1:17" x14ac:dyDescent="0.2">
      <c r="A15" s="149"/>
      <c r="B15" s="161" t="s">
        <v>124</v>
      </c>
      <c r="C15" s="162">
        <v>-18500000</v>
      </c>
      <c r="D15" s="163">
        <v>0</v>
      </c>
      <c r="E15" s="163">
        <v>0</v>
      </c>
      <c r="F15" s="163">
        <v>0</v>
      </c>
      <c r="G15" s="163">
        <v>0</v>
      </c>
      <c r="H15" s="163">
        <v>0</v>
      </c>
      <c r="I15" s="163">
        <v>0</v>
      </c>
      <c r="J15" s="163">
        <v>0</v>
      </c>
      <c r="K15" s="163">
        <v>0</v>
      </c>
      <c r="L15" s="163">
        <v>0</v>
      </c>
      <c r="M15" s="163">
        <v>0</v>
      </c>
      <c r="N15" s="163">
        <v>0</v>
      </c>
      <c r="O15" s="163">
        <v>0</v>
      </c>
      <c r="P15" s="132"/>
      <c r="Q15" s="160">
        <v>0</v>
      </c>
    </row>
    <row r="16" spans="1:17" x14ac:dyDescent="0.2">
      <c r="A16" s="149"/>
      <c r="B16" s="161" t="s">
        <v>125</v>
      </c>
      <c r="C16" s="162">
        <v>59000000</v>
      </c>
      <c r="D16" s="163">
        <v>0</v>
      </c>
      <c r="E16" s="163">
        <v>0</v>
      </c>
      <c r="F16" s="163">
        <v>0</v>
      </c>
      <c r="G16" s="163">
        <v>0</v>
      </c>
      <c r="H16" s="163">
        <v>0</v>
      </c>
      <c r="I16" s="163">
        <v>0</v>
      </c>
      <c r="J16" s="163">
        <v>0</v>
      </c>
      <c r="K16" s="163">
        <v>0</v>
      </c>
      <c r="L16" s="163">
        <v>0</v>
      </c>
      <c r="M16" s="163">
        <v>0</v>
      </c>
      <c r="N16" s="163">
        <v>0</v>
      </c>
      <c r="O16" s="163">
        <v>0</v>
      </c>
      <c r="P16" s="132">
        <v>0</v>
      </c>
      <c r="Q16" s="160">
        <v>0</v>
      </c>
    </row>
    <row r="17" spans="1:17" x14ac:dyDescent="0.2">
      <c r="A17" s="149"/>
      <c r="B17" s="161"/>
      <c r="C17" s="162"/>
      <c r="D17" s="163"/>
      <c r="E17" s="163"/>
      <c r="F17" s="163"/>
      <c r="G17" s="163"/>
      <c r="H17" s="163"/>
      <c r="I17" s="163"/>
      <c r="J17" s="163"/>
      <c r="K17" s="163"/>
      <c r="L17" s="163"/>
      <c r="M17" s="163"/>
      <c r="N17" s="163"/>
      <c r="O17" s="163"/>
      <c r="P17" s="132"/>
      <c r="Q17" s="160"/>
    </row>
    <row r="18" spans="1:17" x14ac:dyDescent="0.2">
      <c r="A18" s="149"/>
      <c r="B18" s="168" t="s">
        <v>126</v>
      </c>
      <c r="C18" s="162"/>
      <c r="D18" s="163"/>
      <c r="E18" s="163"/>
      <c r="F18" s="163"/>
      <c r="G18" s="163"/>
      <c r="H18" s="163"/>
      <c r="I18" s="163"/>
      <c r="J18" s="163"/>
      <c r="K18" s="163"/>
      <c r="L18" s="163"/>
      <c r="M18" s="163"/>
      <c r="N18" s="163"/>
      <c r="O18" s="163"/>
      <c r="P18" s="132"/>
      <c r="Q18" s="160"/>
    </row>
    <row r="19" spans="1:17" s="106" customFormat="1" x14ac:dyDescent="0.2">
      <c r="A19" s="149"/>
      <c r="B19" s="169" t="s">
        <v>127</v>
      </c>
      <c r="C19" s="162">
        <v>-2000000</v>
      </c>
      <c r="D19" s="163">
        <v>0</v>
      </c>
      <c r="E19" s="163">
        <v>0</v>
      </c>
      <c r="F19" s="163">
        <v>-1000000</v>
      </c>
      <c r="G19" s="163">
        <v>-2000000</v>
      </c>
      <c r="H19" s="163"/>
      <c r="I19" s="163">
        <v>0</v>
      </c>
      <c r="J19" s="163"/>
      <c r="K19" s="163">
        <v>-3000000</v>
      </c>
      <c r="L19" s="163"/>
      <c r="M19" s="163">
        <v>-3000000</v>
      </c>
      <c r="N19" s="163"/>
      <c r="O19" s="163">
        <v>0</v>
      </c>
      <c r="P19" s="132">
        <v>-9000000</v>
      </c>
      <c r="Q19" s="160">
        <v>-30000000</v>
      </c>
    </row>
    <row r="20" spans="1:17" s="106" customFormat="1" ht="13.5" thickBot="1" x14ac:dyDescent="0.25">
      <c r="A20" s="149"/>
      <c r="B20" s="169" t="s">
        <v>128</v>
      </c>
      <c r="C20" s="170">
        <v>-3000000</v>
      </c>
      <c r="D20" s="171">
        <v>0</v>
      </c>
      <c r="E20" s="171">
        <v>0</v>
      </c>
      <c r="F20" s="171">
        <v>-700000</v>
      </c>
      <c r="G20" s="171">
        <v>-700000</v>
      </c>
      <c r="H20" s="171">
        <v>-700000</v>
      </c>
      <c r="I20" s="171">
        <v>-2100000</v>
      </c>
      <c r="J20" s="171">
        <v>-2100000</v>
      </c>
      <c r="K20" s="171">
        <v>-1500000</v>
      </c>
      <c r="L20" s="171">
        <v>-3500000</v>
      </c>
      <c r="M20" s="171">
        <v>-4000000</v>
      </c>
      <c r="N20" s="171">
        <v>-3500000</v>
      </c>
      <c r="O20" s="171">
        <v>-3000000</v>
      </c>
      <c r="P20" s="172">
        <v>-21800000</v>
      </c>
      <c r="Q20" s="173">
        <v>-104750000</v>
      </c>
    </row>
    <row r="21" spans="1:17" s="106" customFormat="1" ht="13.5" thickTop="1" x14ac:dyDescent="0.2">
      <c r="A21" s="149"/>
      <c r="B21" s="161" t="s">
        <v>129</v>
      </c>
      <c r="C21" s="174">
        <v>-5000000</v>
      </c>
      <c r="D21" s="175">
        <v>0</v>
      </c>
      <c r="E21" s="175">
        <v>0</v>
      </c>
      <c r="F21" s="175">
        <v>-1700000</v>
      </c>
      <c r="G21" s="175">
        <v>-2700000</v>
      </c>
      <c r="H21" s="175">
        <v>-700000</v>
      </c>
      <c r="I21" s="175">
        <v>-2100000</v>
      </c>
      <c r="J21" s="175">
        <v>-2100000</v>
      </c>
      <c r="K21" s="175">
        <v>-4500000</v>
      </c>
      <c r="L21" s="175">
        <v>-3500000</v>
      </c>
      <c r="M21" s="175">
        <v>-7000000</v>
      </c>
      <c r="N21" s="175">
        <v>-3500000</v>
      </c>
      <c r="O21" s="175">
        <v>-3000000</v>
      </c>
      <c r="P21" s="175">
        <v>-30800000</v>
      </c>
      <c r="Q21" s="174">
        <v>-134750000</v>
      </c>
    </row>
    <row r="22" spans="1:17" s="106" customFormat="1" x14ac:dyDescent="0.2">
      <c r="A22" s="149"/>
      <c r="B22" s="161"/>
      <c r="C22" s="176"/>
      <c r="D22" s="177"/>
      <c r="E22" s="177"/>
      <c r="F22" s="177"/>
      <c r="G22" s="177"/>
      <c r="H22" s="177"/>
      <c r="I22" s="177"/>
      <c r="J22" s="177"/>
      <c r="K22" s="177"/>
      <c r="L22" s="177"/>
      <c r="M22" s="177"/>
      <c r="N22" s="177"/>
      <c r="O22" s="177"/>
      <c r="P22" s="132"/>
      <c r="Q22" s="160"/>
    </row>
    <row r="23" spans="1:17" s="106" customFormat="1" ht="13.5" thickBot="1" x14ac:dyDescent="0.25">
      <c r="A23" s="149"/>
      <c r="B23" s="178" t="s">
        <v>130</v>
      </c>
      <c r="C23" s="179">
        <v>51500000</v>
      </c>
      <c r="D23" s="180">
        <v>-8730791.666666666</v>
      </c>
      <c r="E23" s="180">
        <v>-9178041.666666666</v>
      </c>
      <c r="F23" s="180">
        <v>13913158.333333334</v>
      </c>
      <c r="G23" s="180">
        <v>-11743408.333333334</v>
      </c>
      <c r="H23" s="180">
        <v>-9374708.333333334</v>
      </c>
      <c r="I23" s="180">
        <v>-8356708.333333333</v>
      </c>
      <c r="J23" s="180">
        <v>-6597250</v>
      </c>
      <c r="K23" s="180">
        <v>-7421750</v>
      </c>
      <c r="L23" s="180">
        <v>-3085750</v>
      </c>
      <c r="M23" s="180">
        <v>5796916.666666666</v>
      </c>
      <c r="N23" s="180">
        <v>3172916.666666667</v>
      </c>
      <c r="O23" s="180">
        <v>4058916.666666667</v>
      </c>
      <c r="P23" s="181">
        <v>-37800000</v>
      </c>
      <c r="Q23" s="179">
        <v>297250000</v>
      </c>
    </row>
    <row r="24" spans="1:17" s="106" customFormat="1" x14ac:dyDescent="0.2">
      <c r="A24" s="149"/>
      <c r="C24" s="176"/>
      <c r="D24" s="177"/>
      <c r="E24" s="177"/>
      <c r="F24" s="177"/>
      <c r="G24" s="177"/>
      <c r="H24" s="177"/>
      <c r="I24" s="177"/>
      <c r="J24" s="177"/>
      <c r="K24" s="177"/>
      <c r="L24" s="177"/>
      <c r="M24" s="177"/>
      <c r="N24" s="177"/>
      <c r="O24" s="177"/>
      <c r="P24" s="177"/>
      <c r="Q24" s="160"/>
    </row>
    <row r="25" spans="1:17" s="125" customFormat="1" x14ac:dyDescent="0.2">
      <c r="A25" s="182"/>
      <c r="B25" s="183" t="s">
        <v>131</v>
      </c>
      <c r="C25" s="184">
        <v>105000000</v>
      </c>
      <c r="D25" s="185">
        <v>96000000</v>
      </c>
      <c r="E25" s="185">
        <v>87000000</v>
      </c>
      <c r="F25" s="185">
        <v>101000000</v>
      </c>
      <c r="G25" s="185">
        <v>89000000</v>
      </c>
      <c r="H25" s="185">
        <v>80000000</v>
      </c>
      <c r="I25" s="185">
        <v>72000000</v>
      </c>
      <c r="J25" s="185">
        <v>65000000</v>
      </c>
      <c r="K25" s="185">
        <v>58000000</v>
      </c>
      <c r="L25" s="185">
        <v>55000000</v>
      </c>
      <c r="M25" s="185">
        <v>61000000</v>
      </c>
      <c r="N25" s="185">
        <v>64000000</v>
      </c>
      <c r="O25" s="185">
        <v>68000000</v>
      </c>
      <c r="P25" s="186">
        <v>68000000</v>
      </c>
      <c r="Q25" s="184">
        <v>365000000</v>
      </c>
    </row>
    <row r="26" spans="1:17" s="106" customFormat="1" x14ac:dyDescent="0.2">
      <c r="C26" s="187"/>
      <c r="D26" s="187"/>
      <c r="E26" s="187"/>
      <c r="F26" s="187"/>
      <c r="G26" s="187"/>
      <c r="H26" s="187"/>
      <c r="I26" s="187"/>
      <c r="J26" s="187"/>
      <c r="K26" s="187"/>
      <c r="L26" s="187"/>
      <c r="M26" s="187"/>
      <c r="N26" s="187"/>
      <c r="O26" s="187"/>
    </row>
    <row r="27" spans="1:17" x14ac:dyDescent="0.2">
      <c r="C27" s="187"/>
      <c r="D27" s="187"/>
      <c r="E27" s="187"/>
      <c r="F27" s="187"/>
      <c r="G27" s="187"/>
      <c r="H27" s="187"/>
      <c r="I27" s="187"/>
      <c r="J27" s="187"/>
      <c r="K27" s="187"/>
      <c r="L27" s="187"/>
      <c r="M27" s="187"/>
      <c r="N27" s="187"/>
      <c r="O27" s="187"/>
    </row>
    <row r="28" spans="1:17" x14ac:dyDescent="0.2">
      <c r="C28" s="187"/>
      <c r="D28" s="187"/>
      <c r="E28" s="187"/>
      <c r="F28" s="187"/>
      <c r="G28" s="187"/>
      <c r="H28" s="187"/>
      <c r="I28" s="187"/>
      <c r="J28" s="187"/>
      <c r="K28" s="187"/>
      <c r="L28" s="187"/>
      <c r="M28" s="187"/>
      <c r="N28" s="187"/>
      <c r="O28" s="187"/>
    </row>
    <row r="29" spans="1:17" x14ac:dyDescent="0.2">
      <c r="C29" s="187"/>
      <c r="D29" s="187"/>
      <c r="E29" s="187"/>
      <c r="F29" s="187"/>
      <c r="G29" s="187"/>
      <c r="H29" s="187"/>
      <c r="I29" s="187"/>
      <c r="J29" s="187"/>
      <c r="K29" s="187"/>
      <c r="L29" s="187"/>
      <c r="M29" s="187"/>
      <c r="N29" s="187"/>
      <c r="O29" s="187"/>
    </row>
    <row r="30" spans="1:17" x14ac:dyDescent="0.2">
      <c r="C30" s="187"/>
      <c r="D30" s="187"/>
      <c r="E30" s="187"/>
      <c r="F30" s="187"/>
      <c r="G30" s="187"/>
      <c r="H30" s="187"/>
      <c r="I30" s="187"/>
      <c r="J30" s="187"/>
      <c r="K30" s="187"/>
      <c r="L30" s="187"/>
      <c r="M30" s="187"/>
      <c r="N30" s="187"/>
      <c r="O30" s="187"/>
    </row>
    <row r="31" spans="1:17" x14ac:dyDescent="0.2">
      <c r="C31" s="187"/>
      <c r="D31" s="187"/>
      <c r="E31" s="187"/>
      <c r="F31" s="187"/>
      <c r="G31" s="187"/>
      <c r="H31" s="187"/>
      <c r="I31" s="187"/>
      <c r="J31" s="187"/>
      <c r="K31" s="187"/>
      <c r="L31" s="187"/>
      <c r="M31" s="187"/>
      <c r="N31" s="187"/>
      <c r="O31" s="187"/>
    </row>
    <row r="32" spans="1:17" x14ac:dyDescent="0.2">
      <c r="C32" s="187"/>
      <c r="D32" s="187"/>
      <c r="E32" s="187"/>
      <c r="F32" s="187"/>
      <c r="G32" s="187"/>
      <c r="H32" s="187"/>
      <c r="I32" s="187"/>
      <c r="J32" s="187"/>
      <c r="K32" s="187"/>
      <c r="L32" s="187"/>
      <c r="M32" s="187"/>
      <c r="N32" s="187"/>
      <c r="O32" s="187"/>
    </row>
    <row r="33" spans="3:15" s="84" customFormat="1" x14ac:dyDescent="0.2">
      <c r="C33" s="187"/>
      <c r="D33" s="187"/>
      <c r="E33" s="187"/>
      <c r="F33" s="187"/>
      <c r="G33" s="187"/>
      <c r="H33" s="187"/>
      <c r="I33" s="187"/>
      <c r="J33" s="187"/>
      <c r="K33" s="187"/>
      <c r="L33" s="187"/>
      <c r="M33" s="187"/>
      <c r="N33" s="187"/>
      <c r="O33" s="187"/>
    </row>
    <row r="34" spans="3:15" s="84" customFormat="1" x14ac:dyDescent="0.2">
      <c r="C34" s="187"/>
      <c r="D34" s="187"/>
      <c r="E34" s="187"/>
      <c r="F34" s="187"/>
      <c r="G34" s="187"/>
      <c r="H34" s="187"/>
      <c r="I34" s="187"/>
      <c r="J34" s="187"/>
      <c r="K34" s="187"/>
      <c r="L34" s="187"/>
      <c r="M34" s="187"/>
      <c r="N34" s="187"/>
      <c r="O34" s="187"/>
    </row>
    <row r="35" spans="3:15" s="84" customFormat="1" x14ac:dyDescent="0.2">
      <c r="C35" s="187"/>
      <c r="D35" s="187"/>
      <c r="E35" s="187"/>
      <c r="F35" s="187"/>
      <c r="G35" s="187"/>
      <c r="H35" s="187"/>
      <c r="I35" s="187"/>
      <c r="J35" s="187"/>
      <c r="K35" s="187"/>
      <c r="L35" s="187"/>
      <c r="M35" s="187"/>
      <c r="N35" s="187"/>
      <c r="O35" s="187"/>
    </row>
    <row r="36" spans="3:15" s="84" customFormat="1" x14ac:dyDescent="0.2">
      <c r="C36" s="187"/>
      <c r="D36" s="187"/>
      <c r="E36" s="187"/>
      <c r="F36" s="187"/>
      <c r="G36" s="187"/>
      <c r="H36" s="187"/>
      <c r="I36" s="187"/>
      <c r="J36" s="187"/>
      <c r="K36" s="187"/>
      <c r="L36" s="187"/>
      <c r="M36" s="187"/>
      <c r="N36" s="187"/>
      <c r="O36" s="187"/>
    </row>
    <row r="37" spans="3:15" s="84" customFormat="1" x14ac:dyDescent="0.2">
      <c r="C37" s="187"/>
      <c r="D37" s="187"/>
      <c r="E37" s="187"/>
      <c r="F37" s="187"/>
      <c r="G37" s="187"/>
      <c r="H37" s="187"/>
      <c r="I37" s="187"/>
      <c r="J37" s="187"/>
      <c r="K37" s="187"/>
      <c r="L37" s="187"/>
      <c r="M37" s="187"/>
      <c r="N37" s="187"/>
      <c r="O37" s="187"/>
    </row>
    <row r="38" spans="3:15" s="84" customFormat="1" x14ac:dyDescent="0.2">
      <c r="C38" s="187"/>
      <c r="D38" s="187"/>
      <c r="E38" s="187"/>
      <c r="F38" s="187"/>
      <c r="G38" s="187"/>
      <c r="H38" s="187"/>
      <c r="I38" s="187"/>
      <c r="J38" s="187"/>
      <c r="K38" s="187"/>
      <c r="L38" s="187"/>
      <c r="M38" s="187"/>
      <c r="N38" s="187"/>
      <c r="O38" s="187"/>
    </row>
    <row r="39" spans="3:15" s="84" customFormat="1" x14ac:dyDescent="0.2">
      <c r="C39" s="187"/>
      <c r="D39" s="187"/>
      <c r="E39" s="187"/>
      <c r="F39" s="187"/>
      <c r="G39" s="187"/>
      <c r="H39" s="187"/>
      <c r="I39" s="187"/>
      <c r="J39" s="187"/>
      <c r="K39" s="187"/>
      <c r="L39" s="187"/>
      <c r="M39" s="187"/>
      <c r="N39" s="187"/>
      <c r="O39" s="187"/>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4:F59"/>
  <sheetViews>
    <sheetView showGridLines="0" workbookViewId="0">
      <selection activeCell="D8" sqref="D8"/>
    </sheetView>
  </sheetViews>
  <sheetFormatPr defaultRowHeight="15" x14ac:dyDescent="0.25"/>
  <cols>
    <col min="1" max="1" width="11.28515625" style="189" customWidth="1"/>
    <col min="2" max="2" width="28" style="189" customWidth="1"/>
    <col min="3" max="3" width="2.28515625" style="189" customWidth="1"/>
    <col min="4" max="4" width="16.28515625" style="189" customWidth="1"/>
    <col min="5" max="5" width="1" style="189" customWidth="1"/>
    <col min="6" max="16384" width="9.140625" style="189"/>
  </cols>
  <sheetData>
    <row r="4" spans="1:5" s="188" customFormat="1" x14ac:dyDescent="0.25">
      <c r="A4" s="550" t="s">
        <v>132</v>
      </c>
      <c r="B4" s="550"/>
      <c r="C4" s="550"/>
      <c r="D4" s="550"/>
      <c r="E4" s="550"/>
    </row>
    <row r="5" spans="1:5" s="188" customFormat="1" x14ac:dyDescent="0.25">
      <c r="A5" s="551" t="s">
        <v>133</v>
      </c>
      <c r="B5" s="551"/>
      <c r="C5" s="551"/>
      <c r="D5" s="551"/>
      <c r="E5" s="551"/>
    </row>
    <row r="7" spans="1:5" x14ac:dyDescent="0.25">
      <c r="D7" s="190">
        <v>41647</v>
      </c>
    </row>
    <row r="8" spans="1:5" x14ac:dyDescent="0.25">
      <c r="D8" s="191" t="s">
        <v>134</v>
      </c>
    </row>
    <row r="9" spans="1:5" x14ac:dyDescent="0.25">
      <c r="A9" s="192" t="s">
        <v>135</v>
      </c>
    </row>
    <row r="10" spans="1:5" x14ac:dyDescent="0.25">
      <c r="A10" s="193" t="s">
        <v>136</v>
      </c>
      <c r="D10" s="194">
        <v>104837</v>
      </c>
    </row>
    <row r="11" spans="1:5" x14ac:dyDescent="0.25">
      <c r="A11" s="193" t="s">
        <v>137</v>
      </c>
      <c r="D11" s="195">
        <v>25000</v>
      </c>
    </row>
    <row r="12" spans="1:5" x14ac:dyDescent="0.25">
      <c r="A12" s="193" t="s">
        <v>138</v>
      </c>
      <c r="D12" s="195">
        <v>7820</v>
      </c>
    </row>
    <row r="13" spans="1:5" x14ac:dyDescent="0.25">
      <c r="A13" s="193" t="s">
        <v>139</v>
      </c>
      <c r="D13" s="195">
        <v>3141</v>
      </c>
    </row>
    <row r="14" spans="1:5" ht="15.75" thickBot="1" x14ac:dyDescent="0.3">
      <c r="A14" s="192" t="s">
        <v>140</v>
      </c>
      <c r="D14" s="196">
        <f>SUM(D10:D13)</f>
        <v>140798</v>
      </c>
      <c r="E14" s="197"/>
    </row>
    <row r="15" spans="1:5" ht="15.75" thickTop="1" x14ac:dyDescent="0.25">
      <c r="D15" s="195"/>
    </row>
    <row r="16" spans="1:5" x14ac:dyDescent="0.25">
      <c r="A16" s="198" t="s">
        <v>141</v>
      </c>
      <c r="D16" s="195">
        <v>21213</v>
      </c>
      <c r="E16" s="199"/>
    </row>
    <row r="17" spans="1:6" x14ac:dyDescent="0.25">
      <c r="A17" s="198" t="s">
        <v>142</v>
      </c>
      <c r="D17" s="195">
        <v>26571</v>
      </c>
      <c r="E17" s="199"/>
    </row>
    <row r="19" spans="1:6" ht="15.75" thickBot="1" x14ac:dyDescent="0.3">
      <c r="A19" s="192" t="s">
        <v>143</v>
      </c>
      <c r="D19" s="200">
        <f>D14+D16+D17</f>
        <v>188582</v>
      </c>
    </row>
    <row r="20" spans="1:6" ht="15.75" thickTop="1" x14ac:dyDescent="0.25"/>
    <row r="21" spans="1:6" x14ac:dyDescent="0.25">
      <c r="A21" s="192"/>
    </row>
    <row r="22" spans="1:6" x14ac:dyDescent="0.25">
      <c r="A22" s="192" t="s">
        <v>144</v>
      </c>
    </row>
    <row r="23" spans="1:6" x14ac:dyDescent="0.25">
      <c r="A23" s="193" t="s">
        <v>145</v>
      </c>
      <c r="D23" s="194">
        <v>4758</v>
      </c>
    </row>
    <row r="24" spans="1:6" x14ac:dyDescent="0.25">
      <c r="A24" s="193" t="s">
        <v>146</v>
      </c>
      <c r="D24" s="201">
        <v>5858</v>
      </c>
    </row>
    <row r="25" spans="1:6" x14ac:dyDescent="0.25">
      <c r="A25" s="192" t="s">
        <v>147</v>
      </c>
      <c r="D25" s="202">
        <f>SUM(D23:D24)</f>
        <v>10616</v>
      </c>
    </row>
    <row r="27" spans="1:6" x14ac:dyDescent="0.25">
      <c r="A27" s="193" t="s">
        <v>148</v>
      </c>
      <c r="D27" s="195">
        <v>183808</v>
      </c>
    </row>
    <row r="28" spans="1:6" x14ac:dyDescent="0.25">
      <c r="A28" s="193" t="s">
        <v>149</v>
      </c>
      <c r="D28" s="195"/>
    </row>
    <row r="29" spans="1:6" x14ac:dyDescent="0.25">
      <c r="A29" s="193" t="s">
        <v>150</v>
      </c>
      <c r="D29" s="195"/>
    </row>
    <row r="30" spans="1:6" x14ac:dyDescent="0.25">
      <c r="A30" s="193" t="s">
        <v>151</v>
      </c>
      <c r="D30" s="195">
        <v>16919</v>
      </c>
      <c r="F30" s="199"/>
    </row>
    <row r="31" spans="1:6" x14ac:dyDescent="0.25">
      <c r="A31" s="193" t="s">
        <v>152</v>
      </c>
      <c r="D31" s="201">
        <v>1822</v>
      </c>
    </row>
    <row r="32" spans="1:6" x14ac:dyDescent="0.25">
      <c r="A32" s="192" t="s">
        <v>153</v>
      </c>
      <c r="D32" s="195">
        <f>SUM(D25:D31)</f>
        <v>213165</v>
      </c>
      <c r="E32" s="197"/>
    </row>
    <row r="34" spans="1:5" x14ac:dyDescent="0.25">
      <c r="A34" s="193" t="s">
        <v>154</v>
      </c>
      <c r="D34" s="195">
        <v>19806</v>
      </c>
      <c r="E34" s="199"/>
    </row>
    <row r="35" spans="1:5" x14ac:dyDescent="0.25">
      <c r="A35" s="193" t="s">
        <v>155</v>
      </c>
      <c r="D35" s="195">
        <v>206138</v>
      </c>
    </row>
    <row r="36" spans="1:5" x14ac:dyDescent="0.25">
      <c r="A36" s="193" t="s">
        <v>156</v>
      </c>
      <c r="D36" s="201">
        <v>-250527</v>
      </c>
      <c r="E36" s="199"/>
    </row>
    <row r="37" spans="1:5" x14ac:dyDescent="0.25">
      <c r="A37" s="192" t="s">
        <v>157</v>
      </c>
      <c r="D37" s="195">
        <f>SUM(D34:D36)</f>
        <v>-24583</v>
      </c>
    </row>
    <row r="38" spans="1:5" x14ac:dyDescent="0.25">
      <c r="A38" s="192"/>
      <c r="D38" s="195"/>
    </row>
    <row r="39" spans="1:5" ht="15.75" thickBot="1" x14ac:dyDescent="0.3">
      <c r="A39" s="192" t="s">
        <v>158</v>
      </c>
      <c r="D39" s="203">
        <f>D32+D37</f>
        <v>188582</v>
      </c>
    </row>
    <row r="40" spans="1:5" ht="15.75" thickTop="1" x14ac:dyDescent="0.25">
      <c r="D40" s="204"/>
    </row>
    <row r="43" spans="1:5" x14ac:dyDescent="0.25">
      <c r="A43" s="192" t="s">
        <v>159</v>
      </c>
    </row>
    <row r="44" spans="1:5" x14ac:dyDescent="0.25">
      <c r="A44" s="192"/>
      <c r="B44" s="192" t="s">
        <v>160</v>
      </c>
    </row>
    <row r="45" spans="1:5" x14ac:dyDescent="0.25">
      <c r="A45" s="192"/>
      <c r="B45" s="192"/>
    </row>
    <row r="46" spans="1:5" x14ac:dyDescent="0.25">
      <c r="B46" s="205" t="s">
        <v>161</v>
      </c>
      <c r="C46" s="206" t="s">
        <v>162</v>
      </c>
    </row>
    <row r="47" spans="1:5" x14ac:dyDescent="0.25">
      <c r="C47" s="206" t="s">
        <v>163</v>
      </c>
    </row>
    <row r="48" spans="1:5" x14ac:dyDescent="0.25">
      <c r="C48" s="206" t="s">
        <v>164</v>
      </c>
    </row>
    <row r="49" spans="2:3" x14ac:dyDescent="0.25">
      <c r="B49" s="205" t="s">
        <v>165</v>
      </c>
      <c r="C49" s="206" t="s">
        <v>166</v>
      </c>
    </row>
    <row r="50" spans="2:3" x14ac:dyDescent="0.25">
      <c r="B50" s="192"/>
      <c r="C50" s="206" t="s">
        <v>167</v>
      </c>
    </row>
    <row r="51" spans="2:3" x14ac:dyDescent="0.25">
      <c r="B51" s="192"/>
      <c r="C51" s="206" t="s">
        <v>168</v>
      </c>
    </row>
    <row r="52" spans="2:3" x14ac:dyDescent="0.25">
      <c r="B52" s="192"/>
      <c r="C52" s="206" t="s">
        <v>169</v>
      </c>
    </row>
    <row r="53" spans="2:3" x14ac:dyDescent="0.25">
      <c r="B53" s="205" t="s">
        <v>170</v>
      </c>
      <c r="C53" s="206" t="s">
        <v>171</v>
      </c>
    </row>
    <row r="54" spans="2:3" x14ac:dyDescent="0.25">
      <c r="B54" s="205" t="s">
        <v>172</v>
      </c>
      <c r="C54" s="206" t="s">
        <v>173</v>
      </c>
    </row>
    <row r="55" spans="2:3" x14ac:dyDescent="0.25">
      <c r="B55" s="205" t="s">
        <v>174</v>
      </c>
      <c r="C55" s="206" t="s">
        <v>175</v>
      </c>
    </row>
    <row r="56" spans="2:3" x14ac:dyDescent="0.25">
      <c r="B56" s="205" t="s">
        <v>176</v>
      </c>
      <c r="C56" s="206" t="s">
        <v>177</v>
      </c>
    </row>
    <row r="57" spans="2:3" x14ac:dyDescent="0.25">
      <c r="B57" s="205" t="s">
        <v>178</v>
      </c>
      <c r="C57" s="206" t="s">
        <v>179</v>
      </c>
    </row>
    <row r="58" spans="2:3" x14ac:dyDescent="0.25">
      <c r="B58" s="205"/>
    </row>
    <row r="59" spans="2:3" x14ac:dyDescent="0.25">
      <c r="B59" s="192"/>
    </row>
  </sheetData>
  <mergeCells count="2">
    <mergeCell ref="A4:E4"/>
    <mergeCell ref="A5:E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8"/>
  <sheetViews>
    <sheetView showGridLines="0" zoomScale="85" zoomScaleNormal="85" workbookViewId="0">
      <pane xSplit="2" ySplit="5" topLeftCell="C6" activePane="bottomRight" state="frozen"/>
      <selection pane="topRight" activeCell="C1" sqref="C1"/>
      <selection pane="bottomLeft" activeCell="A5" sqref="A5"/>
      <selection pane="bottomRight"/>
    </sheetView>
  </sheetViews>
  <sheetFormatPr defaultRowHeight="12.75" outlineLevelRow="1" x14ac:dyDescent="0.2"/>
  <cols>
    <col min="1" max="1" width="32" style="1" customWidth="1"/>
    <col min="2" max="2" width="10.7109375" style="1" bestFit="1" customWidth="1"/>
    <col min="3" max="3" width="10.85546875" style="1" bestFit="1" customWidth="1"/>
    <col min="4" max="6" width="9.140625" style="1" customWidth="1"/>
    <col min="7" max="7" width="9.140625" style="1"/>
    <col min="8" max="8" width="9.140625" style="1" customWidth="1"/>
    <col min="9" max="16384" width="9.140625" style="1"/>
  </cols>
  <sheetData>
    <row r="1" spans="1:14" x14ac:dyDescent="0.2">
      <c r="A1" s="17" t="s">
        <v>17</v>
      </c>
      <c r="B1" s="19">
        <f ca="1">+SUM(C58:N58)</f>
        <v>20210.195248561704</v>
      </c>
      <c r="K1" s="17" t="s">
        <v>212</v>
      </c>
      <c r="L1" s="266"/>
      <c r="M1" s="267">
        <v>75</v>
      </c>
    </row>
    <row r="2" spans="1:14" x14ac:dyDescent="0.2">
      <c r="A2" s="18" t="s">
        <v>18</v>
      </c>
      <c r="B2" s="340">
        <f>'Balance Sheet'!D10/1000</f>
        <v>104.837</v>
      </c>
      <c r="K2" s="374" t="s">
        <v>213</v>
      </c>
      <c r="L2" s="6"/>
      <c r="M2" s="268">
        <v>0.01</v>
      </c>
    </row>
    <row r="3" spans="1:14" x14ac:dyDescent="0.2">
      <c r="A3" s="473" t="s">
        <v>19</v>
      </c>
      <c r="B3" s="474">
        <f ca="1">SUM(B1:B2)</f>
        <v>20315.032248561703</v>
      </c>
      <c r="D3" s="289"/>
      <c r="E3" s="289"/>
      <c r="F3" s="289"/>
    </row>
    <row r="4" spans="1:14" s="289" customFormat="1" x14ac:dyDescent="0.2">
      <c r="A4" s="475"/>
      <c r="B4" s="476"/>
    </row>
    <row r="5" spans="1:14" x14ac:dyDescent="0.2">
      <c r="A5" s="3"/>
      <c r="B5" s="20"/>
      <c r="C5" s="2"/>
      <c r="D5" s="2">
        <v>2015</v>
      </c>
      <c r="E5" s="2">
        <f t="shared" ref="E5:F5" si="0">+D5+1</f>
        <v>2016</v>
      </c>
      <c r="F5" s="2">
        <f t="shared" si="0"/>
        <v>2017</v>
      </c>
      <c r="G5" s="2">
        <f t="shared" ref="G5" si="1">+F5+1</f>
        <v>2018</v>
      </c>
      <c r="H5" s="2">
        <f t="shared" ref="H5" si="2">+G5+1</f>
        <v>2019</v>
      </c>
      <c r="I5" s="2">
        <f t="shared" ref="I5" si="3">+H5+1</f>
        <v>2020</v>
      </c>
      <c r="J5" s="2">
        <f t="shared" ref="J5" si="4">+I5+1</f>
        <v>2021</v>
      </c>
      <c r="K5" s="2">
        <f t="shared" ref="K5" si="5">+J5+1</f>
        <v>2022</v>
      </c>
      <c r="L5" s="2">
        <f t="shared" ref="L5" si="6">+K5+1</f>
        <v>2023</v>
      </c>
      <c r="M5" s="2">
        <f t="shared" ref="M5" si="7">+L5+1</f>
        <v>2024</v>
      </c>
      <c r="N5" s="2">
        <f t="shared" ref="N5" si="8">+M5+1</f>
        <v>2025</v>
      </c>
    </row>
    <row r="6" spans="1:14" hidden="1" outlineLevel="1" x14ac:dyDescent="0.2">
      <c r="A6" s="3" t="s">
        <v>217</v>
      </c>
      <c r="B6" s="20"/>
      <c r="D6" s="21">
        <f t="shared" ref="D6:I6" ca="1" si="9">+$B$3/(D19)</f>
        <v>13.039356600614953</v>
      </c>
      <c r="E6" s="21">
        <f t="shared" ca="1" si="9"/>
        <v>5.7382011275628537</v>
      </c>
      <c r="F6" s="21">
        <f t="shared" ca="1" si="9"/>
        <v>4.2977628922912823</v>
      </c>
      <c r="G6" s="21">
        <f t="shared" ca="1" si="9"/>
        <v>3.9783741137653448</v>
      </c>
      <c r="H6" s="21">
        <f t="shared" ca="1" si="9"/>
        <v>3.7013896922016678</v>
      </c>
      <c r="I6" s="21">
        <f t="shared" ca="1" si="9"/>
        <v>3.4673419708683473</v>
      </c>
    </row>
    <row r="7" spans="1:14" hidden="1" outlineLevel="1" x14ac:dyDescent="0.2">
      <c r="A7" s="3" t="s">
        <v>218</v>
      </c>
      <c r="B7" s="20"/>
      <c r="D7" s="275">
        <f t="shared" ref="D7:I7" ca="1" si="10">+$B$3/(D33+D36)</f>
        <v>55.872022248397556</v>
      </c>
      <c r="E7" s="275">
        <f t="shared" ca="1" si="10"/>
        <v>13.075376860060867</v>
      </c>
      <c r="F7" s="275">
        <f t="shared" ca="1" si="10"/>
        <v>8.6261377928827532</v>
      </c>
      <c r="G7" s="275">
        <f t="shared" ca="1" si="10"/>
        <v>7.7816594929695455</v>
      </c>
      <c r="H7" s="275">
        <f t="shared" ca="1" si="10"/>
        <v>7.0895780728291298</v>
      </c>
      <c r="I7" s="275">
        <f t="shared" ca="1" si="10"/>
        <v>6.5095079451809656</v>
      </c>
    </row>
    <row r="8" spans="1:14" collapsed="1" x14ac:dyDescent="0.2">
      <c r="A8" s="3"/>
      <c r="B8" s="20"/>
      <c r="D8" s="21"/>
      <c r="E8" s="21"/>
      <c r="F8" s="21"/>
    </row>
    <row r="9" spans="1:14" x14ac:dyDescent="0.2">
      <c r="A9" s="17" t="s">
        <v>111</v>
      </c>
      <c r="B9" s="269"/>
      <c r="C9" s="266"/>
      <c r="D9" s="273">
        <f ca="1">D33</f>
        <v>342.5993728353792</v>
      </c>
      <c r="E9" s="273">
        <f t="shared" ref="E9:I9" ca="1" si="11">E33</f>
        <v>1447.4767621369724</v>
      </c>
      <c r="F9" s="273">
        <f t="shared" ca="1" si="11"/>
        <v>2118.711118454361</v>
      </c>
      <c r="G9" s="273">
        <f t="shared" ca="1" si="11"/>
        <v>2355.3115365412677</v>
      </c>
      <c r="H9" s="273">
        <f t="shared" ca="1" si="11"/>
        <v>2591.0539265122957</v>
      </c>
      <c r="I9" s="274">
        <f t="shared" ca="1" si="11"/>
        <v>2827.8763501720218</v>
      </c>
    </row>
    <row r="10" spans="1:14" x14ac:dyDescent="0.2">
      <c r="A10" s="270" t="s">
        <v>264</v>
      </c>
      <c r="B10" s="20"/>
      <c r="C10" s="10"/>
      <c r="D10" s="272">
        <v>15</v>
      </c>
      <c r="E10" s="272">
        <v>14</v>
      </c>
      <c r="F10" s="272">
        <f>+E10</f>
        <v>14</v>
      </c>
      <c r="G10" s="272">
        <v>13.5</v>
      </c>
      <c r="H10" s="272">
        <v>13</v>
      </c>
      <c r="I10" s="510">
        <v>12.5</v>
      </c>
    </row>
    <row r="11" spans="1:14" x14ac:dyDescent="0.2">
      <c r="A11" s="270" t="s">
        <v>215</v>
      </c>
      <c r="B11" s="20"/>
      <c r="C11" s="10"/>
      <c r="D11" s="276">
        <f ca="1">+D10*E9</f>
        <v>21712.151432054587</v>
      </c>
      <c r="E11" s="276">
        <f t="shared" ref="E11:H11" ca="1" si="12">+E10*F9</f>
        <v>29661.955658361054</v>
      </c>
      <c r="F11" s="276">
        <f t="shared" ca="1" si="12"/>
        <v>32974.36151157775</v>
      </c>
      <c r="G11" s="276">
        <f t="shared" ca="1" si="12"/>
        <v>34979.22800791599</v>
      </c>
      <c r="H11" s="276">
        <f t="shared" ca="1" si="12"/>
        <v>36762.392552236284</v>
      </c>
      <c r="I11" s="511">
        <f ca="1">+I10*J33</f>
        <v>37957.984721978559</v>
      </c>
    </row>
    <row r="12" spans="1:14" x14ac:dyDescent="0.2">
      <c r="A12" s="374" t="s">
        <v>216</v>
      </c>
      <c r="B12" s="271"/>
      <c r="C12" s="6"/>
      <c r="D12" s="314">
        <f ca="1">+D11+$B$2</f>
        <v>21816.988432054586</v>
      </c>
      <c r="E12" s="314">
        <f t="shared" ref="E12:I12" ca="1" si="13">+E11+$B$2</f>
        <v>29766.792658361053</v>
      </c>
      <c r="F12" s="314">
        <f t="shared" ca="1" si="13"/>
        <v>33079.19851157775</v>
      </c>
      <c r="G12" s="314">
        <f t="shared" ca="1" si="13"/>
        <v>35084.06500791599</v>
      </c>
      <c r="H12" s="314">
        <f t="shared" ca="1" si="13"/>
        <v>36867.229552236284</v>
      </c>
      <c r="I12" s="340">
        <f t="shared" ca="1" si="13"/>
        <v>38062.821721978558</v>
      </c>
    </row>
    <row r="13" spans="1:14" hidden="1" outlineLevel="1" x14ac:dyDescent="0.2">
      <c r="A13" s="270" t="s">
        <v>219</v>
      </c>
      <c r="B13" s="20"/>
      <c r="C13" s="10"/>
      <c r="D13" s="276">
        <f t="shared" ref="D13:I13" ca="1" si="14">+D12*$M$2</f>
        <v>218.16988432054586</v>
      </c>
      <c r="E13" s="276">
        <f t="shared" ca="1" si="14"/>
        <v>297.66792658361055</v>
      </c>
      <c r="F13" s="276">
        <f t="shared" ca="1" si="14"/>
        <v>330.79198511577749</v>
      </c>
      <c r="G13" s="276">
        <f t="shared" ca="1" si="14"/>
        <v>350.8406500791599</v>
      </c>
      <c r="H13" s="276">
        <f t="shared" ca="1" si="14"/>
        <v>368.67229552236284</v>
      </c>
      <c r="I13" s="277">
        <f t="shared" ca="1" si="14"/>
        <v>380.6282172197856</v>
      </c>
    </row>
    <row r="14" spans="1:14" s="5" customFormat="1" hidden="1" outlineLevel="1" x14ac:dyDescent="0.2">
      <c r="A14" s="278" t="s">
        <v>214</v>
      </c>
      <c r="B14" s="20"/>
      <c r="C14" s="3"/>
      <c r="D14" s="477">
        <f t="shared" ref="D14:I14" ca="1" si="15">+(D13/$M$1)^(1/(D5-2013))-1</f>
        <v>0.70555908456453409</v>
      </c>
      <c r="E14" s="477">
        <f t="shared" ca="1" si="15"/>
        <v>0.58327708545075585</v>
      </c>
      <c r="F14" s="477">
        <f t="shared" ca="1" si="15"/>
        <v>0.44918366049728053</v>
      </c>
      <c r="G14" s="477">
        <f t="shared" ca="1" si="15"/>
        <v>0.3614751808460519</v>
      </c>
      <c r="H14" s="477">
        <f t="shared" ca="1" si="15"/>
        <v>0.30395680938352165</v>
      </c>
      <c r="I14" s="478">
        <f t="shared" ca="1" si="15"/>
        <v>0.26118007978015578</v>
      </c>
      <c r="K14" s="5" t="s">
        <v>268</v>
      </c>
    </row>
    <row r="15" spans="1:14" hidden="1" outlineLevel="1" x14ac:dyDescent="0.2">
      <c r="A15" s="18" t="s">
        <v>220</v>
      </c>
      <c r="B15" s="271"/>
      <c r="C15" s="6"/>
      <c r="D15" s="279">
        <f t="shared" ref="D15:I15" ca="1" si="16">+D13/$M$1</f>
        <v>2.9089317909406116</v>
      </c>
      <c r="E15" s="279">
        <f t="shared" ca="1" si="16"/>
        <v>3.9689056877814739</v>
      </c>
      <c r="F15" s="279">
        <f t="shared" ca="1" si="16"/>
        <v>4.4105598015437</v>
      </c>
      <c r="G15" s="279">
        <f t="shared" ca="1" si="16"/>
        <v>4.6778753343887987</v>
      </c>
      <c r="H15" s="279">
        <f t="shared" ca="1" si="16"/>
        <v>4.9156306069648377</v>
      </c>
      <c r="I15" s="280">
        <f t="shared" ca="1" si="16"/>
        <v>5.0750428962638079</v>
      </c>
    </row>
    <row r="16" spans="1:14" collapsed="1" x14ac:dyDescent="0.2"/>
    <row r="17" spans="1:14" x14ac:dyDescent="0.2">
      <c r="B17" s="3"/>
      <c r="C17" s="2">
        <v>2014</v>
      </c>
      <c r="D17" s="2">
        <f t="shared" ref="D17:N17" si="17">+C17+1</f>
        <v>2015</v>
      </c>
      <c r="E17" s="2">
        <f t="shared" si="17"/>
        <v>2016</v>
      </c>
      <c r="F17" s="2">
        <f t="shared" si="17"/>
        <v>2017</v>
      </c>
      <c r="G17" s="2">
        <f t="shared" si="17"/>
        <v>2018</v>
      </c>
      <c r="H17" s="2">
        <f t="shared" si="17"/>
        <v>2019</v>
      </c>
      <c r="I17" s="2">
        <f t="shared" si="17"/>
        <v>2020</v>
      </c>
      <c r="J17" s="2">
        <f t="shared" si="17"/>
        <v>2021</v>
      </c>
      <c r="K17" s="2">
        <f t="shared" si="17"/>
        <v>2022</v>
      </c>
      <c r="L17" s="2">
        <f t="shared" si="17"/>
        <v>2023</v>
      </c>
      <c r="M17" s="2">
        <f t="shared" si="17"/>
        <v>2024</v>
      </c>
      <c r="N17" s="2">
        <f t="shared" si="17"/>
        <v>2025</v>
      </c>
    </row>
    <row r="18" spans="1:14" x14ac:dyDescent="0.2">
      <c r="B18" s="3"/>
      <c r="C18" s="3"/>
      <c r="D18" s="3"/>
      <c r="E18" s="3"/>
      <c r="F18" s="3"/>
      <c r="G18" s="3"/>
      <c r="H18" s="3"/>
      <c r="I18" s="3"/>
      <c r="J18" s="3"/>
      <c r="K18" s="3"/>
      <c r="L18" s="3"/>
      <c r="M18" s="3"/>
      <c r="N18" s="3"/>
    </row>
    <row r="19" spans="1:14" s="5" customFormat="1" x14ac:dyDescent="0.2">
      <c r="A19" s="5" t="s">
        <v>1</v>
      </c>
      <c r="C19" s="11">
        <f t="shared" ref="C19:N19" ca="1" si="18">C82</f>
        <v>249.11748232159374</v>
      </c>
      <c r="D19" s="11">
        <f t="shared" ca="1" si="18"/>
        <v>1557.9781173868364</v>
      </c>
      <c r="E19" s="11">
        <f t="shared" ca="1" si="18"/>
        <v>3540.313731943022</v>
      </c>
      <c r="F19" s="11">
        <f t="shared" ca="1" si="18"/>
        <v>4726.8853023511201</v>
      </c>
      <c r="G19" s="11">
        <f t="shared" ca="1" si="18"/>
        <v>5106.365481886387</v>
      </c>
      <c r="H19" s="11">
        <f t="shared" ca="1" si="18"/>
        <v>5488.4878215775971</v>
      </c>
      <c r="I19" s="11">
        <f t="shared" ca="1" si="18"/>
        <v>5858.9641342685582</v>
      </c>
      <c r="J19" s="11">
        <f t="shared" ca="1" si="18"/>
        <v>6202.004376900044</v>
      </c>
      <c r="K19" s="11">
        <f t="shared" ca="1" si="18"/>
        <v>6501.4801209997295</v>
      </c>
      <c r="L19" s="11">
        <f t="shared" ca="1" si="18"/>
        <v>6742.3382312421236</v>
      </c>
      <c r="M19" s="11">
        <f t="shared" ca="1" si="18"/>
        <v>6912.110543834513</v>
      </c>
      <c r="N19" s="11">
        <f t="shared" ca="1" si="18"/>
        <v>7086.6350819566032</v>
      </c>
    </row>
    <row r="20" spans="1:14" s="5" customFormat="1" x14ac:dyDescent="0.2">
      <c r="A20" s="4" t="s">
        <v>0</v>
      </c>
      <c r="C20" s="11"/>
      <c r="D20" s="294">
        <f ca="1">D19/C19-1</f>
        <v>5.2539894947059258</v>
      </c>
      <c r="E20" s="294">
        <f t="shared" ref="E20:G20" ca="1" si="19">E19/D19-1</f>
        <v>1.2723770587234657</v>
      </c>
      <c r="F20" s="294">
        <f t="shared" ca="1" si="19"/>
        <v>0.3351600056520625</v>
      </c>
      <c r="G20" s="294">
        <f t="shared" ca="1" si="19"/>
        <v>8.0281232833493199E-2</v>
      </c>
      <c r="H20" s="294">
        <f t="shared" ref="H20" ca="1" si="20">H19/G19-1</f>
        <v>7.4832547933887161E-2</v>
      </c>
      <c r="I20" s="294">
        <f t="shared" ref="I20" ca="1" si="21">I19/H19-1</f>
        <v>6.7500616697090843E-2</v>
      </c>
      <c r="J20" s="294">
        <f t="shared" ref="J20" ca="1" si="22">J19/I19-1</f>
        <v>5.8549640306735151E-2</v>
      </c>
      <c r="K20" s="294">
        <f t="shared" ref="K20" ca="1" si="23">K19/J19-1</f>
        <v>4.8286928854018862E-2</v>
      </c>
      <c r="L20" s="294">
        <f t="shared" ref="L20" ca="1" si="24">L19/K19-1</f>
        <v>3.7046657954767026E-2</v>
      </c>
      <c r="M20" s="294">
        <f t="shared" ref="M20" ca="1" si="25">M19/L19-1</f>
        <v>2.5180034992269062E-2</v>
      </c>
      <c r="N20" s="294">
        <f t="shared" ref="N20" ca="1" si="26">N19/M19-1</f>
        <v>2.5249095340027949E-2</v>
      </c>
    </row>
    <row r="22" spans="1:14" x14ac:dyDescent="0.2">
      <c r="A22" s="1" t="s">
        <v>251</v>
      </c>
      <c r="C22" s="7">
        <f ca="1">C97</f>
        <v>90.041102353001591</v>
      </c>
      <c r="D22" s="7">
        <f t="shared" ref="D22:N22" ca="1" si="27">D97</f>
        <v>545.3787445514572</v>
      </c>
      <c r="E22" s="7">
        <f t="shared" ca="1" si="27"/>
        <v>1268.8369698060496</v>
      </c>
      <c r="F22" s="7">
        <f t="shared" ca="1" si="27"/>
        <v>1701.774183896759</v>
      </c>
      <c r="G22" s="7">
        <f t="shared" ca="1" si="27"/>
        <v>1788.641945345119</v>
      </c>
      <c r="H22" s="7">
        <f t="shared" ca="1" si="27"/>
        <v>1875.3539350653014</v>
      </c>
      <c r="I22" s="7">
        <f t="shared" ca="1" si="27"/>
        <v>1957.903826096536</v>
      </c>
      <c r="J22" s="7">
        <f t="shared" ca="1" si="27"/>
        <v>2057.6232557417584</v>
      </c>
      <c r="K22" s="7">
        <f t="shared" ca="1" si="27"/>
        <v>2145.3474568835873</v>
      </c>
      <c r="L22" s="7">
        <f t="shared" ca="1" si="27"/>
        <v>2217.092519601586</v>
      </c>
      <c r="M22" s="7">
        <f t="shared" ca="1" si="27"/>
        <v>2269.6071595902877</v>
      </c>
      <c r="N22" s="7">
        <f t="shared" ca="1" si="27"/>
        <v>2323.4636279924866</v>
      </c>
    </row>
    <row r="23" spans="1:14" x14ac:dyDescent="0.2">
      <c r="A23" s="4" t="s">
        <v>2</v>
      </c>
      <c r="C23" s="294">
        <f ca="1">C22/C19</f>
        <v>0.36144031929788312</v>
      </c>
      <c r="D23" s="294">
        <f t="shared" ref="D23:N23" ca="1" si="28">D22/D19</f>
        <v>0.3500554587160758</v>
      </c>
      <c r="E23" s="294">
        <f t="shared" ca="1" si="28"/>
        <v>0.35839675968764406</v>
      </c>
      <c r="F23" s="294">
        <f t="shared" ca="1" si="28"/>
        <v>0.36002019830062482</v>
      </c>
      <c r="G23" s="294">
        <f t="shared" ca="1" si="28"/>
        <v>0.35027691450796061</v>
      </c>
      <c r="H23" s="294">
        <f t="shared" ca="1" si="28"/>
        <v>0.34168863920814063</v>
      </c>
      <c r="I23" s="294">
        <f t="shared" ca="1" si="28"/>
        <v>0.33417235218166491</v>
      </c>
      <c r="J23" s="294">
        <f t="shared" ca="1" si="28"/>
        <v>0.33176746269408841</v>
      </c>
      <c r="K23" s="294">
        <f t="shared" ca="1" si="28"/>
        <v>0.32997831523842269</v>
      </c>
      <c r="L23" s="294">
        <f t="shared" ca="1" si="28"/>
        <v>0.32883139996273025</v>
      </c>
      <c r="M23" s="294">
        <f t="shared" ca="1" si="28"/>
        <v>0.32835226595366579</v>
      </c>
      <c r="N23" s="294">
        <f t="shared" ca="1" si="28"/>
        <v>0.32786556682004059</v>
      </c>
    </row>
    <row r="24" spans="1:14" x14ac:dyDescent="0.2">
      <c r="A24" s="4"/>
    </row>
    <row r="25" spans="1:14" x14ac:dyDescent="0.2">
      <c r="A25" s="1" t="s">
        <v>252</v>
      </c>
      <c r="C25" s="1">
        <f>-'ProForma Income Stmt'!P35/1000000</f>
        <v>95</v>
      </c>
      <c r="D25" s="1">
        <f>-'ProForma Income Stmt'!Q35/1000000</f>
        <v>270</v>
      </c>
      <c r="E25" s="290">
        <f>D25*(1+E27)</f>
        <v>324</v>
      </c>
      <c r="F25" s="290">
        <f>E25*(1+F27)</f>
        <v>356.40000000000003</v>
      </c>
      <c r="G25" s="290">
        <f>F25*(1+G27)</f>
        <v>384.91200000000003</v>
      </c>
      <c r="H25" s="290">
        <f t="shared" ref="H25:I25" si="29">G25*(1+H27)</f>
        <v>415.70496000000009</v>
      </c>
      <c r="I25" s="290">
        <f t="shared" si="29"/>
        <v>436.49020800000011</v>
      </c>
      <c r="J25" s="290">
        <f t="shared" ref="J25:N25" si="30">I25*(1+J27)</f>
        <v>458.31471840000012</v>
      </c>
      <c r="K25" s="290">
        <f t="shared" si="30"/>
        <v>481.23045432000015</v>
      </c>
      <c r="L25" s="290">
        <f t="shared" si="30"/>
        <v>495.66736794960019</v>
      </c>
      <c r="M25" s="290">
        <f t="shared" si="30"/>
        <v>510.5373889880882</v>
      </c>
      <c r="N25" s="290">
        <f t="shared" si="30"/>
        <v>525.85351065773091</v>
      </c>
    </row>
    <row r="26" spans="1:14" x14ac:dyDescent="0.2">
      <c r="A26" s="4" t="s">
        <v>2</v>
      </c>
      <c r="C26" s="294">
        <f ca="1">C25/C19</f>
        <v>0.38134617897816364</v>
      </c>
      <c r="D26" s="294">
        <f ca="1">D25/D19</f>
        <v>0.17330153548810126</v>
      </c>
      <c r="E26" s="294">
        <f ca="1">E25/E19</f>
        <v>9.1517313021346233E-2</v>
      </c>
      <c r="F26" s="294">
        <f ca="1">F25/F19</f>
        <v>7.5398486995808658E-2</v>
      </c>
      <c r="G26" s="294">
        <f ca="1">G25/G19</f>
        <v>7.537885828293793E-2</v>
      </c>
      <c r="H26" s="294">
        <f t="shared" ref="H26:I26" ca="1" si="31">H25/H19</f>
        <v>7.5741255791018758E-2</v>
      </c>
      <c r="I26" s="294">
        <f t="shared" ca="1" si="31"/>
        <v>7.4499552821463408E-2</v>
      </c>
      <c r="J26" s="294">
        <f t="shared" ref="J26" ca="1" si="32">J25/J19</f>
        <v>7.3897838593445203E-2</v>
      </c>
      <c r="K26" s="294">
        <f t="shared" ref="K26" ca="1" si="33">K25/K19</f>
        <v>7.4018599667117269E-2</v>
      </c>
      <c r="L26" s="294">
        <f t="shared" ref="L26" ca="1" si="34">L25/L19</f>
        <v>7.3515648570226758E-2</v>
      </c>
      <c r="M26" s="294">
        <f t="shared" ref="M26" ca="1" si="35">M25/M19</f>
        <v>7.3861288205738979E-2</v>
      </c>
      <c r="N26" s="294">
        <f t="shared" ref="N26" ca="1" si="36">N25/N19</f>
        <v>7.4203554236426689E-2</v>
      </c>
    </row>
    <row r="27" spans="1:14" x14ac:dyDescent="0.2">
      <c r="A27" s="4" t="s">
        <v>0</v>
      </c>
      <c r="C27" s="294"/>
      <c r="D27" s="294">
        <f>D25/C25-1</f>
        <v>1.8421052631578947</v>
      </c>
      <c r="E27" s="14">
        <v>0.2</v>
      </c>
      <c r="F27" s="14">
        <v>0.1</v>
      </c>
      <c r="G27" s="14">
        <v>0.08</v>
      </c>
      <c r="H27" s="14">
        <v>0.08</v>
      </c>
      <c r="I27" s="14">
        <v>0.05</v>
      </c>
      <c r="J27" s="14">
        <v>0.05</v>
      </c>
      <c r="K27" s="14">
        <v>0.05</v>
      </c>
      <c r="L27" s="14">
        <v>0.03</v>
      </c>
      <c r="M27" s="14">
        <v>0.03</v>
      </c>
      <c r="N27" s="14">
        <v>0.03</v>
      </c>
    </row>
    <row r="28" spans="1:14" x14ac:dyDescent="0.2">
      <c r="A28" s="4"/>
    </row>
    <row r="29" spans="1:14" x14ac:dyDescent="0.2">
      <c r="A29" s="1" t="s">
        <v>253</v>
      </c>
      <c r="C29" s="7">
        <f>SUM('ProForma Income Stmt'!P36:P39)/-1000000</f>
        <v>106</v>
      </c>
      <c r="D29" s="7">
        <f>SUM('ProForma Income Stmt'!Q36:Q39)/-1000000</f>
        <v>400</v>
      </c>
      <c r="E29" s="7">
        <f>D29*(1+E31)</f>
        <v>500</v>
      </c>
      <c r="F29" s="7">
        <f>E29*(1+F31)</f>
        <v>550</v>
      </c>
      <c r="G29" s="7">
        <f>F29*(1+G31)</f>
        <v>577.5</v>
      </c>
      <c r="H29" s="7">
        <f t="shared" ref="H29:N29" si="37">G29*(1+H31)</f>
        <v>606.375</v>
      </c>
      <c r="I29" s="7">
        <f t="shared" si="37"/>
        <v>636.69375000000002</v>
      </c>
      <c r="J29" s="7">
        <f t="shared" si="37"/>
        <v>649.42762500000003</v>
      </c>
      <c r="K29" s="7">
        <f t="shared" si="37"/>
        <v>662.4161775</v>
      </c>
      <c r="L29" s="7">
        <f t="shared" si="37"/>
        <v>675.66450105000001</v>
      </c>
      <c r="M29" s="7">
        <f t="shared" si="37"/>
        <v>689.177791071</v>
      </c>
      <c r="N29" s="7">
        <f t="shared" si="37"/>
        <v>702.96134689242001</v>
      </c>
    </row>
    <row r="30" spans="1:14" x14ac:dyDescent="0.2">
      <c r="A30" s="4" t="s">
        <v>2</v>
      </c>
      <c r="C30" s="294">
        <f ca="1">C29/C19</f>
        <v>0.42550205233352995</v>
      </c>
      <c r="D30" s="294">
        <f ca="1">D29/D19</f>
        <v>0.25674301553792778</v>
      </c>
      <c r="E30" s="294">
        <f ca="1">E29/E19</f>
        <v>0.14123042132923802</v>
      </c>
      <c r="F30" s="294">
        <f ca="1">F29/F19</f>
        <v>0.11635568980834669</v>
      </c>
      <c r="G30" s="294">
        <f ca="1">G29/G19</f>
        <v>0.11309413751298128</v>
      </c>
      <c r="H30" s="294">
        <f t="shared" ref="H30:N30" ca="1" si="38">H29/H19</f>
        <v>0.11048125088591434</v>
      </c>
      <c r="I30" s="294">
        <f t="shared" ca="1" si="38"/>
        <v>0.10867002005969538</v>
      </c>
      <c r="J30" s="294">
        <f t="shared" ca="1" si="38"/>
        <v>0.10471253896866875</v>
      </c>
      <c r="K30" s="294">
        <f t="shared" ca="1" si="38"/>
        <v>0.10188698037549956</v>
      </c>
      <c r="L30" s="294">
        <f t="shared" ca="1" si="38"/>
        <v>0.1002121931408244</v>
      </c>
      <c r="M30" s="294">
        <f t="shared" ca="1" si="38"/>
        <v>9.9705840452122843E-2</v>
      </c>
      <c r="N30" s="294">
        <f t="shared" ca="1" si="38"/>
        <v>9.9195364056806221E-2</v>
      </c>
    </row>
    <row r="31" spans="1:14" x14ac:dyDescent="0.2">
      <c r="A31" s="4" t="s">
        <v>0</v>
      </c>
      <c r="C31" s="294"/>
      <c r="D31" s="294">
        <f>D29/C29-1</f>
        <v>2.7735849056603774</v>
      </c>
      <c r="E31" s="14">
        <v>0.25</v>
      </c>
      <c r="F31" s="14">
        <v>0.1</v>
      </c>
      <c r="G31" s="14">
        <v>0.05</v>
      </c>
      <c r="H31" s="14">
        <v>0.05</v>
      </c>
      <c r="I31" s="14">
        <v>0.05</v>
      </c>
      <c r="J31" s="14">
        <v>0.02</v>
      </c>
      <c r="K31" s="14">
        <v>0.02</v>
      </c>
      <c r="L31" s="14">
        <v>0.02</v>
      </c>
      <c r="M31" s="14">
        <v>0.02</v>
      </c>
      <c r="N31" s="14">
        <v>0.02</v>
      </c>
    </row>
    <row r="32" spans="1:14" x14ac:dyDescent="0.2">
      <c r="A32" s="4"/>
    </row>
    <row r="33" spans="1:14" s="332" customFormat="1" x14ac:dyDescent="0.2">
      <c r="A33" s="332" t="s">
        <v>111</v>
      </c>
      <c r="C33" s="348">
        <f t="shared" ref="C33:N33" ca="1" si="39">C19-C22-C25-C29</f>
        <v>-41.923620031407836</v>
      </c>
      <c r="D33" s="348">
        <f t="shared" ca="1" si="39"/>
        <v>342.5993728353792</v>
      </c>
      <c r="E33" s="348">
        <f t="shared" ca="1" si="39"/>
        <v>1447.4767621369724</v>
      </c>
      <c r="F33" s="348">
        <f t="shared" ca="1" si="39"/>
        <v>2118.711118454361</v>
      </c>
      <c r="G33" s="348">
        <f t="shared" ca="1" si="39"/>
        <v>2355.3115365412677</v>
      </c>
      <c r="H33" s="348">
        <f t="shared" ca="1" si="39"/>
        <v>2591.0539265122957</v>
      </c>
      <c r="I33" s="348">
        <f t="shared" ca="1" si="39"/>
        <v>2827.8763501720218</v>
      </c>
      <c r="J33" s="348">
        <f t="shared" ca="1" si="39"/>
        <v>3036.638777758285</v>
      </c>
      <c r="K33" s="348">
        <f t="shared" ca="1" si="39"/>
        <v>3212.4860322961422</v>
      </c>
      <c r="L33" s="348">
        <f t="shared" ca="1" si="39"/>
        <v>3353.9138426409372</v>
      </c>
      <c r="M33" s="348">
        <f t="shared" ca="1" si="39"/>
        <v>3442.7882041851371</v>
      </c>
      <c r="N33" s="348">
        <f t="shared" ca="1" si="39"/>
        <v>3534.3565964139652</v>
      </c>
    </row>
    <row r="34" spans="1:14" s="306" customFormat="1" x14ac:dyDescent="0.2">
      <c r="A34" s="306" t="s">
        <v>2</v>
      </c>
      <c r="C34" s="342">
        <f t="shared" ref="C34:N34" ca="1" si="40">C33/C19</f>
        <v>-0.16828855060957662</v>
      </c>
      <c r="D34" s="342">
        <f t="shared" ca="1" si="40"/>
        <v>0.21989999025789517</v>
      </c>
      <c r="E34" s="342">
        <f t="shared" ca="1" si="40"/>
        <v>0.40885550596177167</v>
      </c>
      <c r="F34" s="342">
        <f t="shared" ca="1" si="40"/>
        <v>0.44822562489521983</v>
      </c>
      <c r="G34" s="342">
        <f t="shared" ca="1" si="40"/>
        <v>0.46125008969612014</v>
      </c>
      <c r="H34" s="342">
        <f t="shared" ca="1" si="40"/>
        <v>0.47208885411492629</v>
      </c>
      <c r="I34" s="342">
        <f t="shared" ca="1" si="40"/>
        <v>0.48265807493717627</v>
      </c>
      <c r="J34" s="342">
        <f t="shared" ca="1" si="40"/>
        <v>0.48962215974379758</v>
      </c>
      <c r="K34" s="342">
        <f t="shared" ca="1" si="40"/>
        <v>0.4941161047189605</v>
      </c>
      <c r="L34" s="342">
        <f t="shared" ca="1" si="40"/>
        <v>0.49744075832621859</v>
      </c>
      <c r="M34" s="342">
        <f t="shared" ca="1" si="40"/>
        <v>0.49808060538847237</v>
      </c>
      <c r="N34" s="342">
        <f t="shared" ca="1" si="40"/>
        <v>0.49873551488672641</v>
      </c>
    </row>
    <row r="35" spans="1:14" s="306" customFormat="1" x14ac:dyDescent="0.2">
      <c r="C35" s="342"/>
      <c r="D35" s="342"/>
      <c r="E35" s="342"/>
      <c r="F35" s="342"/>
      <c r="G35" s="342"/>
      <c r="H35" s="342"/>
      <c r="I35" s="342"/>
      <c r="J35" s="342"/>
      <c r="K35" s="342"/>
      <c r="L35" s="342"/>
      <c r="M35" s="342"/>
      <c r="N35" s="342"/>
    </row>
    <row r="36" spans="1:14" x14ac:dyDescent="0.2">
      <c r="A36" s="289" t="s">
        <v>262</v>
      </c>
      <c r="B36" s="289"/>
      <c r="C36" s="287">
        <f>-'ProForma Income Stmt'!P45/1000000</f>
        <v>4</v>
      </c>
      <c r="D36" s="287">
        <f>-'ProForma Income Stmt'!Q45/1000000</f>
        <v>21</v>
      </c>
      <c r="E36" s="287">
        <f t="shared" ref="E36:N36" ca="1" si="41">E37*E19</f>
        <v>106.20941195829066</v>
      </c>
      <c r="F36" s="287">
        <f t="shared" ca="1" si="41"/>
        <v>236.34426511755601</v>
      </c>
      <c r="G36" s="287">
        <f t="shared" ca="1" si="41"/>
        <v>255.31827409431935</v>
      </c>
      <c r="H36" s="287">
        <f t="shared" ca="1" si="41"/>
        <v>274.42439107887986</v>
      </c>
      <c r="I36" s="287">
        <f t="shared" ca="1" si="41"/>
        <v>292.94820671342791</v>
      </c>
      <c r="J36" s="287">
        <f t="shared" ca="1" si="41"/>
        <v>186.06013130700131</v>
      </c>
      <c r="K36" s="287">
        <f t="shared" ca="1" si="41"/>
        <v>195.04440362999188</v>
      </c>
      <c r="L36" s="287">
        <f t="shared" ca="1" si="41"/>
        <v>202.27014693726369</v>
      </c>
      <c r="M36" s="287">
        <f t="shared" ca="1" si="41"/>
        <v>207.36331631503538</v>
      </c>
      <c r="N36" s="287">
        <f t="shared" ca="1" si="41"/>
        <v>212.59905245869808</v>
      </c>
    </row>
    <row r="37" spans="1:14" s="4" customFormat="1" x14ac:dyDescent="0.2">
      <c r="A37" s="306" t="s">
        <v>2</v>
      </c>
      <c r="C37" s="344">
        <f ca="1">C36/C19</f>
        <v>1.6056681220133207E-2</v>
      </c>
      <c r="D37" s="344">
        <f ca="1">D36/D19</f>
        <v>1.3479008315741208E-2</v>
      </c>
      <c r="E37" s="9">
        <v>0.03</v>
      </c>
      <c r="F37" s="9">
        <v>0.05</v>
      </c>
      <c r="G37" s="9">
        <f t="shared" ref="G37:N37" si="42">F37</f>
        <v>0.05</v>
      </c>
      <c r="H37" s="9">
        <f t="shared" si="42"/>
        <v>0.05</v>
      </c>
      <c r="I37" s="9">
        <f t="shared" si="42"/>
        <v>0.05</v>
      </c>
      <c r="J37" s="9">
        <f>+J49</f>
        <v>0.03</v>
      </c>
      <c r="K37" s="9">
        <f t="shared" si="42"/>
        <v>0.03</v>
      </c>
      <c r="L37" s="9">
        <f t="shared" si="42"/>
        <v>0.03</v>
      </c>
      <c r="M37" s="9">
        <f t="shared" si="42"/>
        <v>0.03</v>
      </c>
      <c r="N37" s="9">
        <f t="shared" si="42"/>
        <v>0.03</v>
      </c>
    </row>
    <row r="38" spans="1:14" s="306" customFormat="1" x14ac:dyDescent="0.2">
      <c r="C38" s="343"/>
      <c r="D38" s="343"/>
      <c r="E38" s="343"/>
      <c r="F38" s="343"/>
      <c r="G38" s="343"/>
      <c r="H38" s="343"/>
      <c r="I38" s="343"/>
      <c r="J38" s="343"/>
      <c r="K38" s="343"/>
      <c r="L38" s="343"/>
      <c r="M38" s="343"/>
      <c r="N38" s="343"/>
    </row>
    <row r="39" spans="1:14" s="346" customFormat="1" x14ac:dyDescent="0.2">
      <c r="A39" s="332" t="s">
        <v>9</v>
      </c>
      <c r="C39" s="347">
        <f ca="1">C33-C36</f>
        <v>-45.923620031407836</v>
      </c>
      <c r="D39" s="347">
        <f t="shared" ref="D39:N39" ca="1" si="43">D33-D36</f>
        <v>321.5993728353792</v>
      </c>
      <c r="E39" s="347">
        <f t="shared" ca="1" si="43"/>
        <v>1341.2673501786817</v>
      </c>
      <c r="F39" s="347">
        <f t="shared" ca="1" si="43"/>
        <v>1882.366853336805</v>
      </c>
      <c r="G39" s="347">
        <f t="shared" ca="1" si="43"/>
        <v>2099.9932624469484</v>
      </c>
      <c r="H39" s="347">
        <f t="shared" ca="1" si="43"/>
        <v>2316.6295354334156</v>
      </c>
      <c r="I39" s="347">
        <f t="shared" ca="1" si="43"/>
        <v>2534.9281434585937</v>
      </c>
      <c r="J39" s="347">
        <f t="shared" ca="1" si="43"/>
        <v>2850.5786464512835</v>
      </c>
      <c r="K39" s="347">
        <f t="shared" ca="1" si="43"/>
        <v>3017.4416286661503</v>
      </c>
      <c r="L39" s="347">
        <f t="shared" ca="1" si="43"/>
        <v>3151.6436957036735</v>
      </c>
      <c r="M39" s="347">
        <f t="shared" ca="1" si="43"/>
        <v>3235.4248878701019</v>
      </c>
      <c r="N39" s="347">
        <f t="shared" ca="1" si="43"/>
        <v>3321.757543955267</v>
      </c>
    </row>
    <row r="40" spans="1:14" s="4" customFormat="1" x14ac:dyDescent="0.2">
      <c r="A40" s="306" t="s">
        <v>2</v>
      </c>
      <c r="C40" s="15">
        <f t="shared" ref="C40:N40" ca="1" si="44">C39/C19</f>
        <v>-0.18434523182970983</v>
      </c>
      <c r="D40" s="15">
        <f t="shared" ca="1" si="44"/>
        <v>0.20642098194215397</v>
      </c>
      <c r="E40" s="15">
        <f t="shared" ca="1" si="44"/>
        <v>0.37885550596177164</v>
      </c>
      <c r="F40" s="15">
        <f t="shared" ca="1" si="44"/>
        <v>0.39822562489521984</v>
      </c>
      <c r="G40" s="15">
        <f t="shared" ca="1" si="44"/>
        <v>0.41125008969612015</v>
      </c>
      <c r="H40" s="15">
        <f t="shared" ca="1" si="44"/>
        <v>0.42208885411492625</v>
      </c>
      <c r="I40" s="15">
        <f t="shared" ca="1" si="44"/>
        <v>0.43265807493717623</v>
      </c>
      <c r="J40" s="15">
        <f t="shared" ca="1" si="44"/>
        <v>0.45962215974379755</v>
      </c>
      <c r="K40" s="15">
        <f t="shared" ca="1" si="44"/>
        <v>0.46411610471896048</v>
      </c>
      <c r="L40" s="15">
        <f t="shared" ca="1" si="44"/>
        <v>0.46744075832621856</v>
      </c>
      <c r="M40" s="15">
        <f t="shared" ca="1" si="44"/>
        <v>0.4680806053884724</v>
      </c>
      <c r="N40" s="15">
        <f t="shared" ca="1" si="44"/>
        <v>0.46873551488672643</v>
      </c>
    </row>
    <row r="41" spans="1:14" s="4" customFormat="1" x14ac:dyDescent="0.2">
      <c r="A41" s="306"/>
      <c r="C41" s="14"/>
      <c r="D41" s="14"/>
      <c r="E41" s="14"/>
      <c r="F41" s="14"/>
      <c r="G41" s="14"/>
      <c r="H41" s="14"/>
      <c r="I41" s="14"/>
      <c r="J41" s="14"/>
      <c r="K41" s="14"/>
      <c r="L41" s="14"/>
      <c r="M41" s="14"/>
      <c r="N41" s="14"/>
    </row>
    <row r="42" spans="1:14" s="4" customFormat="1" x14ac:dyDescent="0.2">
      <c r="A42" s="1" t="s">
        <v>11</v>
      </c>
      <c r="C42" s="7">
        <f ca="1">+C43*C33</f>
        <v>-14.673267010992742</v>
      </c>
      <c r="D42" s="7">
        <f t="shared" ref="D42:N42" ca="1" si="45">+D43*D33</f>
        <v>119.90978049238271</v>
      </c>
      <c r="E42" s="7">
        <f t="shared" ca="1" si="45"/>
        <v>506.61686674794032</v>
      </c>
      <c r="F42" s="7">
        <f t="shared" ca="1" si="45"/>
        <v>741.54889145902632</v>
      </c>
      <c r="G42" s="7">
        <f t="shared" ca="1" si="45"/>
        <v>824.35903778944362</v>
      </c>
      <c r="H42" s="7">
        <f t="shared" ca="1" si="45"/>
        <v>906.86887427930344</v>
      </c>
      <c r="I42" s="7">
        <f t="shared" ca="1" si="45"/>
        <v>989.75672256020755</v>
      </c>
      <c r="J42" s="7">
        <f t="shared" ca="1" si="45"/>
        <v>1062.8235722153997</v>
      </c>
      <c r="K42" s="7">
        <f t="shared" ca="1" si="45"/>
        <v>1124.3701113036498</v>
      </c>
      <c r="L42" s="7">
        <f t="shared" ca="1" si="45"/>
        <v>1173.8698449243279</v>
      </c>
      <c r="M42" s="7">
        <f t="shared" ca="1" si="45"/>
        <v>1204.9758714647978</v>
      </c>
      <c r="N42" s="7">
        <f t="shared" ca="1" si="45"/>
        <v>1237.0248087448877</v>
      </c>
    </row>
    <row r="43" spans="1:14" s="4" customFormat="1" x14ac:dyDescent="0.2">
      <c r="A43" s="4" t="s">
        <v>12</v>
      </c>
      <c r="C43" s="14">
        <v>0.35</v>
      </c>
      <c r="D43" s="14">
        <f>+C43</f>
        <v>0.35</v>
      </c>
      <c r="E43" s="14">
        <f t="shared" ref="E43:N43" si="46">+D43</f>
        <v>0.35</v>
      </c>
      <c r="F43" s="14">
        <f t="shared" si="46"/>
        <v>0.35</v>
      </c>
      <c r="G43" s="14">
        <f t="shared" si="46"/>
        <v>0.35</v>
      </c>
      <c r="H43" s="14">
        <f t="shared" si="46"/>
        <v>0.35</v>
      </c>
      <c r="I43" s="14">
        <f t="shared" si="46"/>
        <v>0.35</v>
      </c>
      <c r="J43" s="14">
        <f t="shared" si="46"/>
        <v>0.35</v>
      </c>
      <c r="K43" s="14">
        <f t="shared" si="46"/>
        <v>0.35</v>
      </c>
      <c r="L43" s="14">
        <f t="shared" si="46"/>
        <v>0.35</v>
      </c>
      <c r="M43" s="14">
        <f t="shared" si="46"/>
        <v>0.35</v>
      </c>
      <c r="N43" s="14">
        <f t="shared" si="46"/>
        <v>0.35</v>
      </c>
    </row>
    <row r="44" spans="1:14" s="4" customFormat="1" x14ac:dyDescent="0.2">
      <c r="C44" s="14"/>
      <c r="D44" s="14"/>
      <c r="E44" s="14"/>
      <c r="F44" s="14"/>
      <c r="G44" s="14"/>
      <c r="H44" s="14"/>
      <c r="I44" s="14"/>
      <c r="J44" s="14"/>
      <c r="K44" s="14"/>
      <c r="L44" s="14"/>
      <c r="M44" s="14"/>
      <c r="N44" s="14"/>
    </row>
    <row r="45" spans="1:14" s="4" customFormat="1" x14ac:dyDescent="0.2">
      <c r="A45" s="1" t="s">
        <v>13</v>
      </c>
      <c r="C45" s="7">
        <f ca="1">+C33-C42</f>
        <v>-27.250353020415094</v>
      </c>
      <c r="D45" s="7">
        <f t="shared" ref="D45:N45" ca="1" si="47">+D33-D42</f>
        <v>222.68959234299649</v>
      </c>
      <c r="E45" s="7">
        <f t="shared" ca="1" si="47"/>
        <v>940.85989538903209</v>
      </c>
      <c r="F45" s="7">
        <f t="shared" ca="1" si="47"/>
        <v>1377.1622269953345</v>
      </c>
      <c r="G45" s="7">
        <f t="shared" ca="1" si="47"/>
        <v>1530.9524987518241</v>
      </c>
      <c r="H45" s="7">
        <f t="shared" ca="1" si="47"/>
        <v>1684.1850522329923</v>
      </c>
      <c r="I45" s="7">
        <f t="shared" ca="1" si="47"/>
        <v>1838.1196276118144</v>
      </c>
      <c r="J45" s="7">
        <f t="shared" ca="1" si="47"/>
        <v>1973.8152055428852</v>
      </c>
      <c r="K45" s="7">
        <f t="shared" ca="1" si="47"/>
        <v>2088.1159209924926</v>
      </c>
      <c r="L45" s="7">
        <f t="shared" ca="1" si="47"/>
        <v>2180.0439977166093</v>
      </c>
      <c r="M45" s="7">
        <f t="shared" ca="1" si="47"/>
        <v>2237.8123327203393</v>
      </c>
      <c r="N45" s="7">
        <f t="shared" ca="1" si="47"/>
        <v>2297.3317876690776</v>
      </c>
    </row>
    <row r="46" spans="1:14" s="4" customFormat="1" x14ac:dyDescent="0.2">
      <c r="A46" s="4" t="s">
        <v>2</v>
      </c>
      <c r="C46" s="15">
        <f t="shared" ref="C46:N46" ca="1" si="48">C45/C19</f>
        <v>-0.1093875578962248</v>
      </c>
      <c r="D46" s="15">
        <f t="shared" ca="1" si="48"/>
        <v>0.14293499366763188</v>
      </c>
      <c r="E46" s="15">
        <f t="shared" ca="1" si="48"/>
        <v>0.26575607887515162</v>
      </c>
      <c r="F46" s="15">
        <f t="shared" ca="1" si="48"/>
        <v>0.29134665618189287</v>
      </c>
      <c r="G46" s="15">
        <f t="shared" ca="1" si="48"/>
        <v>0.2998125583024781</v>
      </c>
      <c r="H46" s="15">
        <f t="shared" ca="1" si="48"/>
        <v>0.3068577551747021</v>
      </c>
      <c r="I46" s="15">
        <f t="shared" ca="1" si="48"/>
        <v>0.31372774870916459</v>
      </c>
      <c r="J46" s="15">
        <f t="shared" ca="1" si="48"/>
        <v>0.31825440383346842</v>
      </c>
      <c r="K46" s="15">
        <f t="shared" ca="1" si="48"/>
        <v>0.32117546806732433</v>
      </c>
      <c r="L46" s="15">
        <f t="shared" ca="1" si="48"/>
        <v>0.32333649291204208</v>
      </c>
      <c r="M46" s="15">
        <f t="shared" ca="1" si="48"/>
        <v>0.32375239350250706</v>
      </c>
      <c r="N46" s="15">
        <f t="shared" ca="1" si="48"/>
        <v>0.32417808467637221</v>
      </c>
    </row>
    <row r="48" spans="1:14" x14ac:dyDescent="0.2">
      <c r="A48" s="289" t="s">
        <v>263</v>
      </c>
      <c r="B48" s="289"/>
      <c r="C48" s="287">
        <f>'Summary CF Stmt'!P21/1000000</f>
        <v>-30.8</v>
      </c>
      <c r="D48" s="287">
        <f>'Summary CF Stmt'!Q21/1000000</f>
        <v>-134.75</v>
      </c>
      <c r="E48" s="287">
        <f t="shared" ref="E48:N48" ca="1" si="49">E49*-E19</f>
        <v>-177.0156865971511</v>
      </c>
      <c r="F48" s="287">
        <f t="shared" ca="1" si="49"/>
        <v>-236.34426511755601</v>
      </c>
      <c r="G48" s="287">
        <f t="shared" ca="1" si="49"/>
        <v>-255.31827409431935</v>
      </c>
      <c r="H48" s="287">
        <f t="shared" ca="1" si="49"/>
        <v>-274.42439107887986</v>
      </c>
      <c r="I48" s="287">
        <f t="shared" ca="1" si="49"/>
        <v>-292.94820671342791</v>
      </c>
      <c r="J48" s="287">
        <f t="shared" ca="1" si="49"/>
        <v>-186.06013130700131</v>
      </c>
      <c r="K48" s="287">
        <f t="shared" ca="1" si="49"/>
        <v>-195.04440362999188</v>
      </c>
      <c r="L48" s="287">
        <f t="shared" ca="1" si="49"/>
        <v>-202.27014693726369</v>
      </c>
      <c r="M48" s="287">
        <f t="shared" ca="1" si="49"/>
        <v>-207.36331631503538</v>
      </c>
      <c r="N48" s="287">
        <f t="shared" ca="1" si="49"/>
        <v>-212.59905245869808</v>
      </c>
    </row>
    <row r="49" spans="1:14" x14ac:dyDescent="0.2">
      <c r="A49" s="4" t="s">
        <v>2</v>
      </c>
      <c r="B49" s="289"/>
      <c r="C49" s="345">
        <f ca="1">-C48/C19</f>
        <v>0.12363644539502569</v>
      </c>
      <c r="D49" s="345">
        <f ca="1">-D48/D19</f>
        <v>8.6490303359339424E-2</v>
      </c>
      <c r="E49" s="343">
        <v>0.05</v>
      </c>
      <c r="F49" s="343">
        <v>0.05</v>
      </c>
      <c r="G49" s="343">
        <v>0.05</v>
      </c>
      <c r="H49" s="343">
        <v>0.05</v>
      </c>
      <c r="I49" s="343">
        <v>0.05</v>
      </c>
      <c r="J49" s="343">
        <v>0.03</v>
      </c>
      <c r="K49" s="343">
        <v>0.03</v>
      </c>
      <c r="L49" s="343">
        <v>0.03</v>
      </c>
      <c r="M49" s="343">
        <v>0.03</v>
      </c>
      <c r="N49" s="343">
        <v>0.03</v>
      </c>
    </row>
    <row r="50" spans="1:14" s="289" customFormat="1" x14ac:dyDescent="0.2">
      <c r="A50" s="289" t="s">
        <v>10</v>
      </c>
      <c r="C50" s="287">
        <f t="shared" ref="C50:N50" ca="1" si="50">-0.03*C19</f>
        <v>-7.4735244696478116</v>
      </c>
      <c r="D50" s="287">
        <f t="shared" ca="1" si="50"/>
        <v>-46.739343521605093</v>
      </c>
      <c r="E50" s="287">
        <f t="shared" ca="1" si="50"/>
        <v>-106.20941195829066</v>
      </c>
      <c r="F50" s="287">
        <f t="shared" ca="1" si="50"/>
        <v>-141.80655907053361</v>
      </c>
      <c r="G50" s="287">
        <f t="shared" ca="1" si="50"/>
        <v>-153.19096445659162</v>
      </c>
      <c r="H50" s="287">
        <f t="shared" ca="1" si="50"/>
        <v>-164.6546346473279</v>
      </c>
      <c r="I50" s="287">
        <f t="shared" ca="1" si="50"/>
        <v>-175.76892402805674</v>
      </c>
      <c r="J50" s="287">
        <f t="shared" ca="1" si="50"/>
        <v>-186.06013130700131</v>
      </c>
      <c r="K50" s="287">
        <f t="shared" ca="1" si="50"/>
        <v>-195.04440362999188</v>
      </c>
      <c r="L50" s="287">
        <f t="shared" ca="1" si="50"/>
        <v>-202.27014693726369</v>
      </c>
      <c r="M50" s="287">
        <f t="shared" ca="1" si="50"/>
        <v>-207.36331631503538</v>
      </c>
      <c r="N50" s="287">
        <f t="shared" ca="1" si="50"/>
        <v>-212.59905245869808</v>
      </c>
    </row>
    <row r="51" spans="1:14" s="289" customFormat="1" x14ac:dyDescent="0.2">
      <c r="A51" s="289" t="s">
        <v>262</v>
      </c>
      <c r="C51" s="287">
        <f>C36</f>
        <v>4</v>
      </c>
      <c r="D51" s="287">
        <f t="shared" ref="D51:N51" si="51">D36</f>
        <v>21</v>
      </c>
      <c r="E51" s="287">
        <f t="shared" ca="1" si="51"/>
        <v>106.20941195829066</v>
      </c>
      <c r="F51" s="287">
        <f t="shared" ca="1" si="51"/>
        <v>236.34426511755601</v>
      </c>
      <c r="G51" s="287">
        <f t="shared" ca="1" si="51"/>
        <v>255.31827409431935</v>
      </c>
      <c r="H51" s="287">
        <f t="shared" ca="1" si="51"/>
        <v>274.42439107887986</v>
      </c>
      <c r="I51" s="287">
        <f t="shared" ca="1" si="51"/>
        <v>292.94820671342791</v>
      </c>
      <c r="J51" s="287">
        <f t="shared" ca="1" si="51"/>
        <v>186.06013130700131</v>
      </c>
      <c r="K51" s="287">
        <f t="shared" ca="1" si="51"/>
        <v>195.04440362999188</v>
      </c>
      <c r="L51" s="287">
        <f t="shared" ca="1" si="51"/>
        <v>202.27014693726369</v>
      </c>
      <c r="M51" s="287">
        <f t="shared" ca="1" si="51"/>
        <v>207.36331631503538</v>
      </c>
      <c r="N51" s="287">
        <f t="shared" ca="1" si="51"/>
        <v>212.59905245869808</v>
      </c>
    </row>
    <row r="53" spans="1:14" s="5" customFormat="1" x14ac:dyDescent="0.2">
      <c r="A53" s="5" t="s">
        <v>3</v>
      </c>
      <c r="C53" s="11">
        <f ca="1">+C45+C48+C50+C51</f>
        <v>-61.523877490062901</v>
      </c>
      <c r="D53" s="11">
        <f t="shared" ref="D53:N53" ca="1" si="52">+D45+D48+D50+D51</f>
        <v>62.200248821391398</v>
      </c>
      <c r="E53" s="11">
        <f t="shared" ca="1" si="52"/>
        <v>763.84420879188099</v>
      </c>
      <c r="F53" s="11">
        <f t="shared" ca="1" si="52"/>
        <v>1235.3556679248009</v>
      </c>
      <c r="G53" s="11">
        <f t="shared" ca="1" si="52"/>
        <v>1377.7615342952324</v>
      </c>
      <c r="H53" s="11">
        <f t="shared" ca="1" si="52"/>
        <v>1519.5304175856645</v>
      </c>
      <c r="I53" s="11">
        <f t="shared" ca="1" si="52"/>
        <v>1662.3507035837576</v>
      </c>
      <c r="J53" s="11">
        <f t="shared" ca="1" si="52"/>
        <v>1787.755074235884</v>
      </c>
      <c r="K53" s="11">
        <f t="shared" ca="1" si="52"/>
        <v>1893.0715173625008</v>
      </c>
      <c r="L53" s="11">
        <f t="shared" ca="1" si="52"/>
        <v>1977.7738507793456</v>
      </c>
      <c r="M53" s="11">
        <f t="shared" ca="1" si="52"/>
        <v>2030.4490164053041</v>
      </c>
      <c r="N53" s="11">
        <f t="shared" ca="1" si="52"/>
        <v>2084.7327352103794</v>
      </c>
    </row>
    <row r="55" spans="1:14" x14ac:dyDescent="0.2">
      <c r="A55" s="1" t="s">
        <v>14</v>
      </c>
      <c r="B55" s="16">
        <v>1.4999999999999999E-2</v>
      </c>
      <c r="N55" s="7">
        <f ca="1">(N53-N50)*(1+$B55)/($B59-$B55)</f>
        <v>31090.556859788183</v>
      </c>
    </row>
    <row r="57" spans="1:14" x14ac:dyDescent="0.2">
      <c r="C57" s="1">
        <v>0.5</v>
      </c>
      <c r="D57" s="1">
        <f>+C57+1</f>
        <v>1.5</v>
      </c>
      <c r="E57" s="1">
        <f t="shared" ref="E57:N57" si="53">+D57+1</f>
        <v>2.5</v>
      </c>
      <c r="F57" s="1">
        <f t="shared" si="53"/>
        <v>3.5</v>
      </c>
      <c r="G57" s="1">
        <f t="shared" si="53"/>
        <v>4.5</v>
      </c>
      <c r="H57" s="1">
        <f t="shared" si="53"/>
        <v>5.5</v>
      </c>
      <c r="I57" s="1">
        <f t="shared" si="53"/>
        <v>6.5</v>
      </c>
      <c r="J57" s="1">
        <f t="shared" si="53"/>
        <v>7.5</v>
      </c>
      <c r="K57" s="1">
        <f t="shared" si="53"/>
        <v>8.5</v>
      </c>
      <c r="L57" s="1">
        <f t="shared" si="53"/>
        <v>9.5</v>
      </c>
      <c r="M57" s="1">
        <f t="shared" si="53"/>
        <v>10.5</v>
      </c>
      <c r="N57" s="1">
        <f t="shared" si="53"/>
        <v>11.5</v>
      </c>
    </row>
    <row r="58" spans="1:14" x14ac:dyDescent="0.2">
      <c r="A58" s="1" t="s">
        <v>15</v>
      </c>
      <c r="C58" s="7">
        <f ca="1">+(C53+C55)/(1+$B$59)^C57</f>
        <v>-58.929187028708164</v>
      </c>
      <c r="D58" s="7">
        <f t="shared" ref="D58:N58" ca="1" si="54">+(D53+D55)/(1+$B$59)^D57</f>
        <v>54.657828686628093</v>
      </c>
      <c r="E58" s="7">
        <f t="shared" ca="1" si="54"/>
        <v>615.79838481173033</v>
      </c>
      <c r="F58" s="7">
        <f t="shared" ca="1" si="54"/>
        <v>913.69083652590484</v>
      </c>
      <c r="G58" s="7">
        <f t="shared" ca="1" si="54"/>
        <v>934.87773074246547</v>
      </c>
      <c r="H58" s="7">
        <f t="shared" ca="1" si="54"/>
        <v>945.94015030216747</v>
      </c>
      <c r="I58" s="7">
        <f t="shared" ca="1" si="54"/>
        <v>949.40259609782595</v>
      </c>
      <c r="J58" s="7">
        <f t="shared" ca="1" si="54"/>
        <v>936.71890395628429</v>
      </c>
      <c r="K58" s="7">
        <f t="shared" ca="1" si="54"/>
        <v>910.00083068666549</v>
      </c>
      <c r="L58" s="7">
        <f t="shared" ca="1" si="54"/>
        <v>872.21770905149572</v>
      </c>
      <c r="M58" s="7">
        <f t="shared" ca="1" si="54"/>
        <v>821.51190355217057</v>
      </c>
      <c r="N58" s="7">
        <f t="shared" ca="1" si="54"/>
        <v>12314.307561177073</v>
      </c>
    </row>
    <row r="59" spans="1:14" x14ac:dyDescent="0.2">
      <c r="A59" s="1" t="s">
        <v>16</v>
      </c>
      <c r="B59" s="16">
        <v>0.09</v>
      </c>
    </row>
    <row r="63" spans="1:14" x14ac:dyDescent="0.2">
      <c r="A63" s="2" t="s">
        <v>257</v>
      </c>
      <c r="B63" s="6"/>
      <c r="C63" s="6"/>
      <c r="D63" s="6"/>
      <c r="E63" s="6"/>
      <c r="F63" s="6"/>
      <c r="G63" s="6"/>
      <c r="H63" s="6"/>
      <c r="I63" s="6"/>
      <c r="J63" s="6"/>
      <c r="K63" s="6"/>
      <c r="L63" s="6"/>
      <c r="M63" s="6"/>
      <c r="N63" s="6"/>
    </row>
    <row r="65" spans="1:16" x14ac:dyDescent="0.2">
      <c r="A65" s="12" t="s">
        <v>64</v>
      </c>
    </row>
    <row r="66" spans="1:16" x14ac:dyDescent="0.2">
      <c r="A66" s="12"/>
    </row>
    <row r="67" spans="1:16" x14ac:dyDescent="0.2">
      <c r="A67" s="1" t="str">
        <f>'PFM Rev Model-Bottoms Up'!A21</f>
        <v>Retail Revenue</v>
      </c>
      <c r="C67" s="313">
        <f ca="1">'PFM Rev Model-Bottoms Up'!I21/1000000</f>
        <v>96.737482321593731</v>
      </c>
      <c r="D67" s="313">
        <f ca="1">'PFM Rev Model-Bottoms Up'!N21/1000000</f>
        <v>631.09811738683652</v>
      </c>
      <c r="E67" s="313">
        <f ca="1">'PFM Rev Model-Bottoms Up'!O21/1000000</f>
        <v>1640.0337319430221</v>
      </c>
      <c r="F67" s="313">
        <f ca="1">'PFM Rev Model-Bottoms Up'!P21/1000000</f>
        <v>2409.3453023511197</v>
      </c>
      <c r="G67" s="313">
        <f ca="1">'PFM Rev Model-Bottoms Up'!Q21/1000000</f>
        <v>2445.4854818863869</v>
      </c>
      <c r="H67" s="313">
        <f ca="1">G67*(1+H68)</f>
        <v>2484.2056686829214</v>
      </c>
      <c r="I67" s="313">
        <f t="shared" ref="I67:N67" ca="1" si="55">H67*(1+I68)</f>
        <v>2525.6090964943037</v>
      </c>
      <c r="J67" s="313">
        <f t="shared" ca="1" si="55"/>
        <v>2569.8072556829543</v>
      </c>
      <c r="K67" s="313">
        <f t="shared" ca="1" si="55"/>
        <v>2616.9203887038084</v>
      </c>
      <c r="L67" s="313">
        <f t="shared" ca="1" si="55"/>
        <v>2667.0780294872984</v>
      </c>
      <c r="M67" s="313">
        <f t="shared" ca="1" si="55"/>
        <v>2720.4195900770446</v>
      </c>
      <c r="N67" s="313">
        <f t="shared" ca="1" si="55"/>
        <v>2774.8279818785854</v>
      </c>
    </row>
    <row r="68" spans="1:16" x14ac:dyDescent="0.2">
      <c r="A68" s="4" t="s">
        <v>258</v>
      </c>
      <c r="D68" s="456">
        <f ca="1">D67/C67-1</f>
        <v>5.523822020598141</v>
      </c>
      <c r="E68" s="456">
        <f t="shared" ref="E68:G68" ca="1" si="56">E67/D67-1</f>
        <v>1.5986985014847552</v>
      </c>
      <c r="F68" s="456">
        <f t="shared" ca="1" si="56"/>
        <v>0.4690827727650817</v>
      </c>
      <c r="G68" s="456">
        <f t="shared" ca="1" si="56"/>
        <v>1.5000000000000124E-2</v>
      </c>
      <c r="H68" s="9">
        <f ca="1">($P68-G68)/($N$5-H$5)+G68</f>
        <v>1.5833333333333435E-2</v>
      </c>
      <c r="I68" s="9">
        <f t="shared" ref="I68:M68" ca="1" si="57">($P68-H68)/($N$5-I$5)+H68</f>
        <v>1.666666666666675E-2</v>
      </c>
      <c r="J68" s="9">
        <f t="shared" ca="1" si="57"/>
        <v>1.7500000000000064E-2</v>
      </c>
      <c r="K68" s="9">
        <f t="shared" ca="1" si="57"/>
        <v>1.8333333333333375E-2</v>
      </c>
      <c r="L68" s="9">
        <f t="shared" ca="1" si="57"/>
        <v>1.9166666666666686E-2</v>
      </c>
      <c r="M68" s="9">
        <f t="shared" ca="1" si="57"/>
        <v>0.02</v>
      </c>
      <c r="N68" s="9">
        <f ca="1">+M68</f>
        <v>0.02</v>
      </c>
      <c r="P68" s="447">
        <v>0.02</v>
      </c>
    </row>
    <row r="70" spans="1:16" x14ac:dyDescent="0.2">
      <c r="A70" s="1" t="str">
        <f>'PFM Rev Model-Bottoms Up'!A29</f>
        <v>Physicians Office Revenue</v>
      </c>
      <c r="C70" s="313">
        <f ca="1">'PFM Rev Model-Bottoms Up'!I29/1000000</f>
        <v>72.38000000000001</v>
      </c>
      <c r="D70" s="313">
        <f ca="1">'PFM Rev Model-Bottoms Up'!N29/1000000</f>
        <v>341.88</v>
      </c>
      <c r="E70" s="313">
        <f ca="1">'PFM Rev Model-Bottoms Up'!O29/1000000</f>
        <v>665.28</v>
      </c>
      <c r="F70" s="313">
        <f ca="1">'PFM Rev Model-Bottoms Up'!P29/1000000</f>
        <v>887.04</v>
      </c>
      <c r="G70" s="313">
        <f ca="1">'PFM Rev Model-Bottoms Up'!Q29/1000000</f>
        <v>1034.8800000000001</v>
      </c>
      <c r="H70" s="313">
        <f ca="1">G70*(1+H71)</f>
        <v>1182.0629333333334</v>
      </c>
      <c r="I70" s="313">
        <f t="shared" ref="I70" ca="1" si="58">H70*(1+I71)</f>
        <v>1321.2836788148149</v>
      </c>
      <c r="J70" s="313">
        <f t="shared" ref="J70" ca="1" si="59">I70*(1+J71)</f>
        <v>1444.6034888375309</v>
      </c>
      <c r="K70" s="313">
        <f t="shared" ref="K70" ca="1" si="60">J70*(1+K71)</f>
        <v>1544.120618068561</v>
      </c>
      <c r="L70" s="313">
        <f t="shared" ref="L70" ca="1" si="61">K70*(1+L71)</f>
        <v>1612.7482010938306</v>
      </c>
      <c r="M70" s="313">
        <f t="shared" ref="M70" ca="1" si="62">L70*(1+M71)</f>
        <v>1645.0031651157074</v>
      </c>
      <c r="N70" s="313">
        <f t="shared" ref="N70" ca="1" si="63">M70*(1+N71)</f>
        <v>1677.9032284180216</v>
      </c>
    </row>
    <row r="71" spans="1:16" x14ac:dyDescent="0.2">
      <c r="A71" s="4" t="s">
        <v>258</v>
      </c>
      <c r="D71" s="456">
        <f ca="1">D70/C70-1</f>
        <v>3.7234042553191484</v>
      </c>
      <c r="E71" s="456">
        <f t="shared" ref="E71" ca="1" si="64">E70/D70-1</f>
        <v>0.94594594594594583</v>
      </c>
      <c r="F71" s="456">
        <f t="shared" ref="F71" ca="1" si="65">F70/E70-1</f>
        <v>0.33333333333333326</v>
      </c>
      <c r="G71" s="456">
        <f t="shared" ref="G71" ca="1" si="66">G70/F70-1</f>
        <v>0.16666666666666674</v>
      </c>
      <c r="H71" s="9">
        <f ca="1">($P71-G71)/($N$5-H$5)+G71</f>
        <v>0.14222222222222228</v>
      </c>
      <c r="I71" s="9">
        <f t="shared" ref="I71:M71" ca="1" si="67">($P71-H71)/($N$5-I$5)+H71</f>
        <v>0.11777777777777781</v>
      </c>
      <c r="J71" s="9">
        <f t="shared" ca="1" si="67"/>
        <v>9.3333333333333365E-2</v>
      </c>
      <c r="K71" s="9">
        <f t="shared" ca="1" si="67"/>
        <v>6.8888888888888916E-2</v>
      </c>
      <c r="L71" s="9">
        <f t="shared" ca="1" si="67"/>
        <v>4.444444444444446E-2</v>
      </c>
      <c r="M71" s="9">
        <f t="shared" ca="1" si="67"/>
        <v>0.02</v>
      </c>
      <c r="N71" s="9">
        <f ca="1">+M71</f>
        <v>0.02</v>
      </c>
      <c r="P71" s="447">
        <v>0.02</v>
      </c>
    </row>
    <row r="73" spans="1:16" x14ac:dyDescent="0.2">
      <c r="A73" s="1" t="str">
        <f>'PFM Rev Model-Bottoms Up'!A37</f>
        <v>Hospital (Courrier) Revenue</v>
      </c>
      <c r="C73" s="313">
        <f ca="1">'PFM Rev Model-Bottoms Up'!I37/1000000</f>
        <v>50.000000000000007</v>
      </c>
      <c r="D73" s="313">
        <f ca="1">'PFM Rev Model-Bottoms Up'!N37/1000000</f>
        <v>225</v>
      </c>
      <c r="E73" s="313">
        <f ca="1">'PFM Rev Model-Bottoms Up'!O37/1000000</f>
        <v>345</v>
      </c>
      <c r="F73" s="313">
        <f ca="1">'PFM Rev Model-Bottoms Up'!P37/1000000</f>
        <v>382.5</v>
      </c>
      <c r="G73" s="313">
        <f ca="1">'PFM Rev Model-Bottoms Up'!Q37/1000000</f>
        <v>420</v>
      </c>
      <c r="H73" s="313">
        <f ca="1">G73*(1+H74)</f>
        <v>456.4137254901961</v>
      </c>
      <c r="I73" s="313">
        <f t="shared" ref="I73" ca="1" si="68">H73*(1+I74)</f>
        <v>490.80882519543769</v>
      </c>
      <c r="J73" s="313">
        <f t="shared" ref="J73" ca="1" si="69">I73*(1+J74)</f>
        <v>522.23021371040045</v>
      </c>
      <c r="K73" s="313">
        <f t="shared" ref="K73" ca="1" si="70">J73*(1+K74)</f>
        <v>549.74116483788953</v>
      </c>
      <c r="L73" s="313">
        <f t="shared" ref="L73" ca="1" si="71">K73*(1+L74)</f>
        <v>572.46739273069772</v>
      </c>
      <c r="M73" s="313">
        <f t="shared" ref="M73" ca="1" si="72">L73*(1+M74)</f>
        <v>589.64141451261867</v>
      </c>
      <c r="N73" s="313">
        <f t="shared" ref="N73" ca="1" si="73">M73*(1+N74)</f>
        <v>607.33065694799723</v>
      </c>
    </row>
    <row r="74" spans="1:16" x14ac:dyDescent="0.2">
      <c r="A74" s="4" t="s">
        <v>258</v>
      </c>
      <c r="D74" s="456">
        <f ca="1">D73/C73-1</f>
        <v>3.4999999999999991</v>
      </c>
      <c r="E74" s="456">
        <f t="shared" ref="E74" ca="1" si="74">E73/D73-1</f>
        <v>0.53333333333333344</v>
      </c>
      <c r="F74" s="456">
        <f t="shared" ref="F74" ca="1" si="75">F73/E73-1</f>
        <v>0.10869565217391308</v>
      </c>
      <c r="G74" s="456">
        <f t="shared" ref="G74" ca="1" si="76">G73/F73-1</f>
        <v>9.8039215686274606E-2</v>
      </c>
      <c r="H74" s="9">
        <f ca="1">($P74-G74)/($N$5-H$5)+G74</f>
        <v>8.6699346405228833E-2</v>
      </c>
      <c r="I74" s="9">
        <f t="shared" ref="I74:M74" ca="1" si="77">($P74-H74)/($N$5-I$5)+H74</f>
        <v>7.5359477124183061E-2</v>
      </c>
      <c r="J74" s="9">
        <f t="shared" ca="1" si="77"/>
        <v>6.4019607843137288E-2</v>
      </c>
      <c r="K74" s="9">
        <f t="shared" ca="1" si="77"/>
        <v>5.2679738562091523E-2</v>
      </c>
      <c r="L74" s="9">
        <f t="shared" ca="1" si="77"/>
        <v>4.1339869281045757E-2</v>
      </c>
      <c r="M74" s="9">
        <f t="shared" ca="1" si="77"/>
        <v>0.03</v>
      </c>
      <c r="N74" s="9">
        <f ca="1">+M74</f>
        <v>0.03</v>
      </c>
      <c r="P74" s="447">
        <v>0.03</v>
      </c>
    </row>
    <row r="76" spans="1:16" x14ac:dyDescent="0.2">
      <c r="A76" s="1" t="str">
        <f>'PFM Rev Model-Bottoms Up'!A45</f>
        <v>Hospital (OnSite) Revenue</v>
      </c>
      <c r="C76" s="313">
        <f ca="1">'PFM Rev Model-Bottoms Up'!I45/1000000</f>
        <v>0</v>
      </c>
      <c r="D76" s="313">
        <f ca="1">'PFM Rev Model-Bottoms Up'!N45/1000000</f>
        <v>240</v>
      </c>
      <c r="E76" s="313">
        <f ca="1">'PFM Rev Model-Bottoms Up'!O45/1000000</f>
        <v>720</v>
      </c>
      <c r="F76" s="313">
        <f ca="1">'PFM Rev Model-Bottoms Up'!P45/1000000</f>
        <v>828</v>
      </c>
      <c r="G76" s="313">
        <f ca="1">'PFM Rev Model-Bottoms Up'!Q45/1000000</f>
        <v>936</v>
      </c>
      <c r="H76" s="313">
        <f ca="1">G76*(1+H77)</f>
        <v>1042.4191304347826</v>
      </c>
      <c r="I76" s="313">
        <f t="shared" ref="I76" ca="1" si="78">H76*(1+I77)</f>
        <v>1143.4884635160679</v>
      </c>
      <c r="J76" s="313">
        <f t="shared" ref="J76" ca="1" si="79">I76*(1+J77)</f>
        <v>1235.2161250459437</v>
      </c>
      <c r="K76" s="313">
        <f t="shared" ref="K76" ca="1" si="80">J76*(1+K77)</f>
        <v>1313.6254964619036</v>
      </c>
      <c r="L76" s="313">
        <f t="shared" ref="L76" ca="1" si="81">K76*(1+L77)</f>
        <v>1375.0232098834927</v>
      </c>
      <c r="M76" s="313">
        <f t="shared" ref="M76" ca="1" si="82">L76*(1+M77)</f>
        <v>1416.2739061799975</v>
      </c>
      <c r="N76" s="313">
        <f t="shared" ref="N76" ca="1" si="83">M76*(1+N77)</f>
        <v>1458.7621233653974</v>
      </c>
    </row>
    <row r="77" spans="1:16" x14ac:dyDescent="0.2">
      <c r="A77" s="4" t="s">
        <v>258</v>
      </c>
      <c r="D77" s="294"/>
      <c r="E77" s="456">
        <f t="shared" ref="E77" ca="1" si="84">E76/D76-1</f>
        <v>2</v>
      </c>
      <c r="F77" s="456">
        <f t="shared" ref="F77" ca="1" si="85">F76/E76-1</f>
        <v>0.14999999999999991</v>
      </c>
      <c r="G77" s="456">
        <f t="shared" ref="G77" ca="1" si="86">G76/F76-1</f>
        <v>0.13043478260869557</v>
      </c>
      <c r="H77" s="9">
        <f ca="1">($P77-G77)/($N$5-H$5)+G77</f>
        <v>0.11369565217391298</v>
      </c>
      <c r="I77" s="9">
        <f t="shared" ref="I77:M77" ca="1" si="87">($P77-H77)/($N$5-I$5)+H77</f>
        <v>9.6956521739130386E-2</v>
      </c>
      <c r="J77" s="9">
        <f t="shared" ca="1" si="87"/>
        <v>8.0217391304347796E-2</v>
      </c>
      <c r="K77" s="9">
        <f t="shared" ca="1" si="87"/>
        <v>6.3478260869565192E-2</v>
      </c>
      <c r="L77" s="9">
        <f t="shared" ca="1" si="87"/>
        <v>4.6739130434782596E-2</v>
      </c>
      <c r="M77" s="9">
        <f t="shared" ca="1" si="87"/>
        <v>0.03</v>
      </c>
      <c r="N77" s="9">
        <f ca="1">+M77</f>
        <v>0.03</v>
      </c>
      <c r="P77" s="447">
        <v>0.03</v>
      </c>
    </row>
    <row r="79" spans="1:16" x14ac:dyDescent="0.2">
      <c r="A79" s="1" t="str">
        <f>'PFM Rev Model-Bottoms Up'!A51</f>
        <v>Pharmaceutical Services Revenue</v>
      </c>
      <c r="C79" s="313">
        <f>'PFM Rev Model-Bottoms Up'!I51/1000000</f>
        <v>30</v>
      </c>
      <c r="D79" s="313">
        <f>'PFM Rev Model-Bottoms Up'!N51/1000000</f>
        <v>120</v>
      </c>
      <c r="E79" s="313">
        <f>'PFM Rev Model-Bottoms Up'!O51/1000000</f>
        <v>170</v>
      </c>
      <c r="F79" s="313">
        <f>'PFM Rev Model-Bottoms Up'!P51/1000000</f>
        <v>220</v>
      </c>
      <c r="G79" s="313">
        <f>'PFM Rev Model-Bottoms Up'!Q51/1000000</f>
        <v>270</v>
      </c>
      <c r="H79" s="313">
        <f>G79*(1+H80)</f>
        <v>323.38636363636363</v>
      </c>
      <c r="I79" s="313">
        <f t="shared" ref="I79" si="88">H79*(1+I80)</f>
        <v>377.77407024793388</v>
      </c>
      <c r="J79" s="313">
        <f t="shared" ref="J79" si="89">I79*(1+J80)</f>
        <v>430.14729362321566</v>
      </c>
      <c r="K79" s="313">
        <f t="shared" ref="K79" si="90">J79*(1+K80)</f>
        <v>477.07245292756647</v>
      </c>
      <c r="L79" s="313">
        <f t="shared" ref="L79" si="91">K79*(1+L80)</f>
        <v>515.02139804680473</v>
      </c>
      <c r="M79" s="313">
        <f t="shared" ref="M79" si="92">L79*(1+M80)</f>
        <v>540.77246794914504</v>
      </c>
      <c r="N79" s="313">
        <f t="shared" ref="N79" si="93">M79*(1+N80)</f>
        <v>567.81109134660232</v>
      </c>
    </row>
    <row r="80" spans="1:16" x14ac:dyDescent="0.2">
      <c r="A80" s="4" t="s">
        <v>258</v>
      </c>
      <c r="E80" s="456">
        <f t="shared" ref="E80" si="94">E79/D79-1</f>
        <v>0.41666666666666674</v>
      </c>
      <c r="F80" s="456">
        <f t="shared" ref="F80" si="95">F79/E79-1</f>
        <v>0.29411764705882359</v>
      </c>
      <c r="G80" s="456">
        <f t="shared" ref="G80" si="96">G79/F79-1</f>
        <v>0.22727272727272729</v>
      </c>
      <c r="H80" s="9">
        <f>($P80-G80)/($N$5-H$5)+G80</f>
        <v>0.19772727272727275</v>
      </c>
      <c r="I80" s="9">
        <f t="shared" ref="I80:M80" si="97">($P80-H80)/($N$5-I$5)+H80</f>
        <v>0.16818181818181821</v>
      </c>
      <c r="J80" s="9">
        <f t="shared" si="97"/>
        <v>0.13863636363636367</v>
      </c>
      <c r="K80" s="9">
        <f t="shared" si="97"/>
        <v>0.10909090909090911</v>
      </c>
      <c r="L80" s="9">
        <f t="shared" si="97"/>
        <v>7.9545454545454558E-2</v>
      </c>
      <c r="M80" s="9">
        <f t="shared" si="97"/>
        <v>0.05</v>
      </c>
      <c r="N80" s="9">
        <f>+M80</f>
        <v>0.05</v>
      </c>
      <c r="P80" s="447">
        <v>0.05</v>
      </c>
    </row>
    <row r="82" spans="1:14" s="5" customFormat="1" x14ac:dyDescent="0.2">
      <c r="A82" s="5" t="s">
        <v>207</v>
      </c>
      <c r="C82" s="292">
        <f ca="1">C79+C76+C73+C70+C67</f>
        <v>249.11748232159374</v>
      </c>
      <c r="D82" s="292">
        <f t="shared" ref="D82:N82" ca="1" si="98">D79+D76+D73+D70+D67</f>
        <v>1557.9781173868364</v>
      </c>
      <c r="E82" s="292">
        <f t="shared" ca="1" si="98"/>
        <v>3540.313731943022</v>
      </c>
      <c r="F82" s="292">
        <f t="shared" ca="1" si="98"/>
        <v>4726.8853023511201</v>
      </c>
      <c r="G82" s="292">
        <f t="shared" ca="1" si="98"/>
        <v>5106.365481886387</v>
      </c>
      <c r="H82" s="292">
        <f t="shared" ca="1" si="98"/>
        <v>5488.4878215775971</v>
      </c>
      <c r="I82" s="292">
        <f t="shared" ca="1" si="98"/>
        <v>5858.9641342685582</v>
      </c>
      <c r="J82" s="292">
        <f t="shared" ca="1" si="98"/>
        <v>6202.004376900044</v>
      </c>
      <c r="K82" s="292">
        <f t="shared" ca="1" si="98"/>
        <v>6501.4801209997295</v>
      </c>
      <c r="L82" s="292">
        <f t="shared" ca="1" si="98"/>
        <v>6742.3382312421236</v>
      </c>
      <c r="M82" s="292">
        <f t="shared" ca="1" si="98"/>
        <v>6912.110543834513</v>
      </c>
      <c r="N82" s="292">
        <f t="shared" ca="1" si="98"/>
        <v>7086.6350819566032</v>
      </c>
    </row>
    <row r="83" spans="1:14" x14ac:dyDescent="0.2">
      <c r="A83" s="4" t="s">
        <v>258</v>
      </c>
      <c r="E83" s="456">
        <f t="shared" ref="E83" ca="1" si="99">E82/D82-1</f>
        <v>1.2723770587234657</v>
      </c>
      <c r="F83" s="456">
        <f t="shared" ref="F83" ca="1" si="100">F82/E82-1</f>
        <v>0.3351600056520625</v>
      </c>
      <c r="G83" s="456">
        <f t="shared" ref="G83" ca="1" si="101">G82/F82-1</f>
        <v>8.0281232833493199E-2</v>
      </c>
      <c r="H83" s="294">
        <f t="shared" ref="H83" ca="1" si="102">H82/G82-1</f>
        <v>7.4832547933887161E-2</v>
      </c>
      <c r="I83" s="294">
        <f t="shared" ref="I83" ca="1" si="103">I82/H82-1</f>
        <v>6.7500616697090843E-2</v>
      </c>
      <c r="J83" s="294">
        <f t="shared" ref="J83" ca="1" si="104">J82/I82-1</f>
        <v>5.8549640306735151E-2</v>
      </c>
      <c r="K83" s="294">
        <f t="shared" ref="K83" ca="1" si="105">K82/J82-1</f>
        <v>4.8286928854018862E-2</v>
      </c>
      <c r="L83" s="294">
        <f t="shared" ref="L83" ca="1" si="106">L82/K82-1</f>
        <v>3.7046657954767026E-2</v>
      </c>
      <c r="M83" s="294">
        <f t="shared" ref="M83" ca="1" si="107">M82/L82-1</f>
        <v>2.5180034992269062E-2</v>
      </c>
      <c r="N83" s="294">
        <f t="shared" ref="N83" ca="1" si="108">N82/M82-1</f>
        <v>2.5249095340027949E-2</v>
      </c>
    </row>
    <row r="85" spans="1:14" x14ac:dyDescent="0.2">
      <c r="A85" s="12" t="s">
        <v>259</v>
      </c>
    </row>
    <row r="86" spans="1:14" x14ac:dyDescent="0.2">
      <c r="A86" s="1" t="str">
        <f>A67</f>
        <v>Retail Revenue</v>
      </c>
      <c r="C86" s="341">
        <f>'ProForma Income Stmt'!P22/'ProForma Income Stmt'!P12</f>
        <v>0.49541284403669728</v>
      </c>
      <c r="D86" s="341">
        <f>'ProForma Income Stmt'!Q22/'ProForma Income Stmt'!Q12</f>
        <v>0.45066666666666666</v>
      </c>
      <c r="E86" s="13">
        <f>D86-1%</f>
        <v>0.44066666666666665</v>
      </c>
      <c r="F86" s="13">
        <f t="shared" ref="F86:I86" si="109">E86-1%</f>
        <v>0.43066666666666664</v>
      </c>
      <c r="G86" s="13">
        <f t="shared" si="109"/>
        <v>0.42066666666666663</v>
      </c>
      <c r="H86" s="13">
        <f t="shared" si="109"/>
        <v>0.41066666666666662</v>
      </c>
      <c r="I86" s="13">
        <f t="shared" si="109"/>
        <v>0.40066666666666662</v>
      </c>
      <c r="J86" s="13">
        <f>I86</f>
        <v>0.40066666666666662</v>
      </c>
      <c r="K86" s="13">
        <f t="shared" ref="K86:N86" si="110">J86</f>
        <v>0.40066666666666662</v>
      </c>
      <c r="L86" s="13">
        <f t="shared" si="110"/>
        <v>0.40066666666666662</v>
      </c>
      <c r="M86" s="13">
        <f t="shared" si="110"/>
        <v>0.40066666666666662</v>
      </c>
      <c r="N86" s="13">
        <f t="shared" si="110"/>
        <v>0.40066666666666662</v>
      </c>
    </row>
    <row r="87" spans="1:14" x14ac:dyDescent="0.2">
      <c r="A87" s="1" t="str">
        <f>A70</f>
        <v>Physicians Office Revenue</v>
      </c>
      <c r="C87" s="341">
        <f>'ProForma Income Stmt'!P23/'ProForma Income Stmt'!P13</f>
        <v>0.30555555555555558</v>
      </c>
      <c r="D87" s="341">
        <f>'ProForma Income Stmt'!Q23/'ProForma Income Stmt'!Q13</f>
        <v>0.30116959064327486</v>
      </c>
      <c r="E87" s="13">
        <f>D87</f>
        <v>0.30116959064327486</v>
      </c>
      <c r="F87" s="13">
        <f t="shared" ref="F87:N87" si="111">E87</f>
        <v>0.30116959064327486</v>
      </c>
      <c r="G87" s="13">
        <f t="shared" si="111"/>
        <v>0.30116959064327486</v>
      </c>
      <c r="H87" s="13">
        <f t="shared" si="111"/>
        <v>0.30116959064327486</v>
      </c>
      <c r="I87" s="13">
        <f t="shared" si="111"/>
        <v>0.30116959064327486</v>
      </c>
      <c r="J87" s="13">
        <f t="shared" si="111"/>
        <v>0.30116959064327486</v>
      </c>
      <c r="K87" s="13">
        <f t="shared" si="111"/>
        <v>0.30116959064327486</v>
      </c>
      <c r="L87" s="13">
        <f t="shared" si="111"/>
        <v>0.30116959064327486</v>
      </c>
      <c r="M87" s="13">
        <f t="shared" si="111"/>
        <v>0.30116959064327486</v>
      </c>
      <c r="N87" s="13">
        <f t="shared" si="111"/>
        <v>0.30116959064327486</v>
      </c>
    </row>
    <row r="88" spans="1:14" x14ac:dyDescent="0.2">
      <c r="A88" s="1" t="str">
        <f>A73</f>
        <v>Hospital (Courrier) Revenue</v>
      </c>
      <c r="C88" s="341">
        <f>'ProForma Income Stmt'!P24/'ProForma Income Stmt'!P14</f>
        <v>0.3</v>
      </c>
      <c r="D88" s="341">
        <f>'ProForma Income Stmt'!Q24/'ProForma Income Stmt'!Q14</f>
        <v>0.30222222222222223</v>
      </c>
      <c r="E88" s="13">
        <f>D88</f>
        <v>0.30222222222222223</v>
      </c>
      <c r="F88" s="13">
        <f t="shared" ref="F88:N89" si="112">E88</f>
        <v>0.30222222222222223</v>
      </c>
      <c r="G88" s="13">
        <f t="shared" si="112"/>
        <v>0.30222222222222223</v>
      </c>
      <c r="H88" s="13">
        <f t="shared" si="112"/>
        <v>0.30222222222222223</v>
      </c>
      <c r="I88" s="13">
        <f t="shared" si="112"/>
        <v>0.30222222222222223</v>
      </c>
      <c r="J88" s="13">
        <f t="shared" si="112"/>
        <v>0.30222222222222223</v>
      </c>
      <c r="K88" s="13">
        <f t="shared" si="112"/>
        <v>0.30222222222222223</v>
      </c>
      <c r="L88" s="13">
        <f t="shared" si="112"/>
        <v>0.30222222222222223</v>
      </c>
      <c r="M88" s="13">
        <f t="shared" si="112"/>
        <v>0.30222222222222223</v>
      </c>
      <c r="N88" s="13">
        <f t="shared" si="112"/>
        <v>0.30222222222222223</v>
      </c>
    </row>
    <row r="89" spans="1:14" x14ac:dyDescent="0.2">
      <c r="A89" s="1" t="str">
        <f>A76</f>
        <v>Hospital (OnSite) Revenue</v>
      </c>
      <c r="C89" s="341"/>
      <c r="D89" s="341">
        <f>'ProForma Income Stmt'!Q25/'ProForma Income Stmt'!Q15</f>
        <v>0.3</v>
      </c>
      <c r="E89" s="13">
        <f>D89</f>
        <v>0.3</v>
      </c>
      <c r="F89" s="13">
        <f t="shared" si="112"/>
        <v>0.3</v>
      </c>
      <c r="G89" s="13">
        <f t="shared" si="112"/>
        <v>0.3</v>
      </c>
      <c r="H89" s="13">
        <f t="shared" si="112"/>
        <v>0.3</v>
      </c>
      <c r="I89" s="13">
        <f t="shared" si="112"/>
        <v>0.3</v>
      </c>
      <c r="J89" s="13">
        <f t="shared" si="112"/>
        <v>0.3</v>
      </c>
      <c r="K89" s="13">
        <f t="shared" si="112"/>
        <v>0.3</v>
      </c>
      <c r="L89" s="13">
        <f t="shared" si="112"/>
        <v>0.3</v>
      </c>
      <c r="M89" s="13">
        <f t="shared" si="112"/>
        <v>0.3</v>
      </c>
      <c r="N89" s="13">
        <f t="shared" si="112"/>
        <v>0.3</v>
      </c>
    </row>
    <row r="90" spans="1:14" x14ac:dyDescent="0.2">
      <c r="A90" s="1" t="str">
        <f>A79</f>
        <v>Pharmaceutical Services Revenue</v>
      </c>
      <c r="C90" s="341">
        <f>'ProForma Income Stmt'!P26/'ProForma Income Stmt'!P16</f>
        <v>0.16666666666666666</v>
      </c>
      <c r="D90" s="341">
        <f>'ProForma Income Stmt'!Q26/'ProForma Income Stmt'!Q16</f>
        <v>0.15</v>
      </c>
      <c r="E90" s="13">
        <f>D90</f>
        <v>0.15</v>
      </c>
      <c r="F90" s="13">
        <f t="shared" ref="F90:N90" si="113">E90</f>
        <v>0.15</v>
      </c>
      <c r="G90" s="13">
        <f t="shared" si="113"/>
        <v>0.15</v>
      </c>
      <c r="H90" s="13">
        <f t="shared" si="113"/>
        <v>0.15</v>
      </c>
      <c r="I90" s="13">
        <f t="shared" si="113"/>
        <v>0.15</v>
      </c>
      <c r="J90" s="13">
        <f t="shared" si="113"/>
        <v>0.15</v>
      </c>
      <c r="K90" s="13">
        <f t="shared" si="113"/>
        <v>0.15</v>
      </c>
      <c r="L90" s="13">
        <f t="shared" si="113"/>
        <v>0.15</v>
      </c>
      <c r="M90" s="13">
        <f t="shared" si="113"/>
        <v>0.15</v>
      </c>
      <c r="N90" s="13">
        <f t="shared" si="113"/>
        <v>0.15</v>
      </c>
    </row>
    <row r="92" spans="1:14" x14ac:dyDescent="0.2">
      <c r="A92" s="1" t="str">
        <f>A86</f>
        <v>Retail Revenue</v>
      </c>
      <c r="C92" s="313">
        <f ca="1">C86*C67</f>
        <v>47.924991241890474</v>
      </c>
      <c r="D92" s="313">
        <f ca="1">D86*D67</f>
        <v>284.41488490233434</v>
      </c>
      <c r="E92" s="313">
        <f t="shared" ref="E92:N92" ca="1" si="114">E86*E67</f>
        <v>722.70819787622509</v>
      </c>
      <c r="F92" s="313">
        <f t="shared" ca="1" si="114"/>
        <v>1037.6247102125487</v>
      </c>
      <c r="G92" s="313">
        <f t="shared" ca="1" si="114"/>
        <v>1028.7342260468733</v>
      </c>
      <c r="H92" s="313">
        <f t="shared" ca="1" si="114"/>
        <v>1020.1804612724529</v>
      </c>
      <c r="I92" s="313">
        <f t="shared" ca="1" si="114"/>
        <v>1011.9273779953842</v>
      </c>
      <c r="J92" s="313">
        <f t="shared" ca="1" si="114"/>
        <v>1029.6361071103036</v>
      </c>
      <c r="K92" s="313">
        <f t="shared" ca="1" si="114"/>
        <v>1048.5127690739923</v>
      </c>
      <c r="L92" s="313">
        <f t="shared" ca="1" si="114"/>
        <v>1068.6092638145774</v>
      </c>
      <c r="M92" s="313">
        <f t="shared" ca="1" si="114"/>
        <v>1089.9814490908691</v>
      </c>
      <c r="N92" s="313">
        <f t="shared" ca="1" si="114"/>
        <v>1111.7810780726863</v>
      </c>
    </row>
    <row r="93" spans="1:14" x14ac:dyDescent="0.2">
      <c r="A93" s="1" t="str">
        <f t="shared" ref="A93:A96" si="115">A87</f>
        <v>Physicians Office Revenue</v>
      </c>
      <c r="C93" s="313">
        <f ca="1">C87*C70</f>
        <v>22.116111111111117</v>
      </c>
      <c r="D93" s="313">
        <f ca="1">D87*D70</f>
        <v>102.96385964912281</v>
      </c>
      <c r="E93" s="313">
        <f t="shared" ref="E93:N93" ca="1" si="116">E87*E70</f>
        <v>200.3621052631579</v>
      </c>
      <c r="F93" s="313">
        <f t="shared" ca="1" si="116"/>
        <v>267.14947368421053</v>
      </c>
      <c r="G93" s="313">
        <f t="shared" ca="1" si="116"/>
        <v>311.67438596491235</v>
      </c>
      <c r="H93" s="313">
        <f t="shared" ca="1" si="116"/>
        <v>356.00140974658871</v>
      </c>
      <c r="I93" s="313">
        <f t="shared" ca="1" si="116"/>
        <v>397.93046467229806</v>
      </c>
      <c r="J93" s="313">
        <f t="shared" ca="1" si="116"/>
        <v>435.07064137504585</v>
      </c>
      <c r="K93" s="313">
        <f t="shared" ca="1" si="116"/>
        <v>465.04217444754909</v>
      </c>
      <c r="L93" s="313">
        <f t="shared" ca="1" si="116"/>
        <v>485.7107155341069</v>
      </c>
      <c r="M93" s="313">
        <f t="shared" ca="1" si="116"/>
        <v>495.42492984478906</v>
      </c>
      <c r="N93" s="313">
        <f t="shared" ca="1" si="116"/>
        <v>505.33342844168487</v>
      </c>
    </row>
    <row r="94" spans="1:14" x14ac:dyDescent="0.2">
      <c r="A94" s="1" t="str">
        <f t="shared" si="115"/>
        <v>Hospital (Courrier) Revenue</v>
      </c>
      <c r="C94" s="313">
        <f ca="1">C88*C73</f>
        <v>15.000000000000002</v>
      </c>
      <c r="D94" s="313">
        <f ca="1">D88*D73</f>
        <v>68</v>
      </c>
      <c r="E94" s="313">
        <f t="shared" ref="E94:N94" ca="1" si="117">E88*E73</f>
        <v>104.26666666666667</v>
      </c>
      <c r="F94" s="313">
        <f t="shared" ca="1" si="117"/>
        <v>115.6</v>
      </c>
      <c r="G94" s="313">
        <f t="shared" ca="1" si="117"/>
        <v>126.93333333333334</v>
      </c>
      <c r="H94" s="313">
        <f t="shared" ca="1" si="117"/>
        <v>137.93837037037036</v>
      </c>
      <c r="I94" s="313">
        <f t="shared" ca="1" si="117"/>
        <v>148.33333383684339</v>
      </c>
      <c r="J94" s="313">
        <f t="shared" ca="1" si="117"/>
        <v>157.82957569914325</v>
      </c>
      <c r="K94" s="313">
        <f t="shared" ca="1" si="117"/>
        <v>166.14399648433994</v>
      </c>
      <c r="L94" s="313">
        <f t="shared" ca="1" si="117"/>
        <v>173.01236758083309</v>
      </c>
      <c r="M94" s="313">
        <f t="shared" ca="1" si="117"/>
        <v>178.2027386082581</v>
      </c>
      <c r="N94" s="313">
        <f t="shared" ca="1" si="117"/>
        <v>183.54882076650583</v>
      </c>
    </row>
    <row r="95" spans="1:14" x14ac:dyDescent="0.2">
      <c r="A95" s="1" t="str">
        <f t="shared" si="115"/>
        <v>Hospital (OnSite) Revenue</v>
      </c>
      <c r="C95" s="313">
        <f ca="1">C89*C76</f>
        <v>0</v>
      </c>
      <c r="D95" s="313">
        <f ca="1">D89*D76</f>
        <v>72</v>
      </c>
      <c r="E95" s="313">
        <f t="shared" ref="E95:N95" ca="1" si="118">E89*E76</f>
        <v>216</v>
      </c>
      <c r="F95" s="313">
        <f t="shared" ca="1" si="118"/>
        <v>248.39999999999998</v>
      </c>
      <c r="G95" s="313">
        <f t="shared" ca="1" si="118"/>
        <v>280.8</v>
      </c>
      <c r="H95" s="313">
        <f t="shared" ca="1" si="118"/>
        <v>312.72573913043476</v>
      </c>
      <c r="I95" s="313">
        <f t="shared" ca="1" si="118"/>
        <v>343.04653905482036</v>
      </c>
      <c r="J95" s="313">
        <f t="shared" ca="1" si="118"/>
        <v>370.56483751378312</v>
      </c>
      <c r="K95" s="313">
        <f t="shared" ca="1" si="118"/>
        <v>394.08764893857108</v>
      </c>
      <c r="L95" s="313">
        <f t="shared" ca="1" si="118"/>
        <v>412.50696296504776</v>
      </c>
      <c r="M95" s="313">
        <f t="shared" ca="1" si="118"/>
        <v>424.88217185399924</v>
      </c>
      <c r="N95" s="313">
        <f t="shared" ca="1" si="118"/>
        <v>437.62863700961924</v>
      </c>
    </row>
    <row r="96" spans="1:14" x14ac:dyDescent="0.2">
      <c r="A96" s="1" t="str">
        <f t="shared" si="115"/>
        <v>Pharmaceutical Services Revenue</v>
      </c>
      <c r="C96" s="313">
        <f>C90*C79</f>
        <v>5</v>
      </c>
      <c r="D96" s="313">
        <f>D90*D79</f>
        <v>18</v>
      </c>
      <c r="E96" s="313">
        <f t="shared" ref="E96:N96" si="119">E90*E79</f>
        <v>25.5</v>
      </c>
      <c r="F96" s="313">
        <f t="shared" si="119"/>
        <v>33</v>
      </c>
      <c r="G96" s="313">
        <f t="shared" si="119"/>
        <v>40.5</v>
      </c>
      <c r="H96" s="313">
        <f t="shared" si="119"/>
        <v>48.507954545454545</v>
      </c>
      <c r="I96" s="313">
        <f t="shared" si="119"/>
        <v>56.666110537190079</v>
      </c>
      <c r="J96" s="313">
        <f t="shared" si="119"/>
        <v>64.52209404348234</v>
      </c>
      <c r="K96" s="313">
        <f t="shared" si="119"/>
        <v>71.560867939134965</v>
      </c>
      <c r="L96" s="313">
        <f t="shared" si="119"/>
        <v>77.253209707020702</v>
      </c>
      <c r="M96" s="313">
        <f t="shared" si="119"/>
        <v>81.115870192371759</v>
      </c>
      <c r="N96" s="313">
        <f t="shared" si="119"/>
        <v>85.17166370199034</v>
      </c>
    </row>
    <row r="97" spans="1:14" s="5" customFormat="1" x14ac:dyDescent="0.2">
      <c r="A97" s="5" t="s">
        <v>260</v>
      </c>
      <c r="C97" s="292">
        <f ca="1">SUM(C92:C96)</f>
        <v>90.041102353001591</v>
      </c>
      <c r="D97" s="292">
        <f ca="1">SUM(D92:D96)</f>
        <v>545.3787445514572</v>
      </c>
      <c r="E97" s="292">
        <f t="shared" ref="E97:N97" ca="1" si="120">SUM(E92:E96)</f>
        <v>1268.8369698060496</v>
      </c>
      <c r="F97" s="292">
        <f t="shared" ca="1" si="120"/>
        <v>1701.774183896759</v>
      </c>
      <c r="G97" s="292">
        <f t="shared" ca="1" si="120"/>
        <v>1788.641945345119</v>
      </c>
      <c r="H97" s="292">
        <f t="shared" ca="1" si="120"/>
        <v>1875.3539350653014</v>
      </c>
      <c r="I97" s="292">
        <f t="shared" ca="1" si="120"/>
        <v>1957.903826096536</v>
      </c>
      <c r="J97" s="292">
        <f t="shared" ca="1" si="120"/>
        <v>2057.6232557417584</v>
      </c>
      <c r="K97" s="292">
        <f t="shared" ca="1" si="120"/>
        <v>2145.3474568835873</v>
      </c>
      <c r="L97" s="292">
        <f t="shared" ca="1" si="120"/>
        <v>2217.092519601586</v>
      </c>
      <c r="M97" s="292">
        <f t="shared" ca="1" si="120"/>
        <v>2269.6071595902877</v>
      </c>
      <c r="N97" s="292">
        <f t="shared" ca="1" si="120"/>
        <v>2323.4636279924866</v>
      </c>
    </row>
    <row r="98" spans="1:14" x14ac:dyDescent="0.2">
      <c r="A98" s="4" t="s">
        <v>261</v>
      </c>
      <c r="C98" s="294">
        <f ca="1">C97/C82</f>
        <v>0.36144031929788312</v>
      </c>
      <c r="D98" s="294">
        <f t="shared" ref="D98:N98" ca="1" si="121">D97/D82</f>
        <v>0.3500554587160758</v>
      </c>
      <c r="E98" s="294">
        <f t="shared" ca="1" si="121"/>
        <v>0.35839675968764406</v>
      </c>
      <c r="F98" s="294">
        <f t="shared" ca="1" si="121"/>
        <v>0.36002019830062482</v>
      </c>
      <c r="G98" s="294">
        <f t="shared" ca="1" si="121"/>
        <v>0.35027691450796061</v>
      </c>
      <c r="H98" s="294">
        <f t="shared" ca="1" si="121"/>
        <v>0.34168863920814063</v>
      </c>
      <c r="I98" s="294">
        <f t="shared" ca="1" si="121"/>
        <v>0.33417235218166491</v>
      </c>
      <c r="J98" s="294">
        <f t="shared" ca="1" si="121"/>
        <v>0.33176746269408841</v>
      </c>
      <c r="K98" s="294">
        <f t="shared" ca="1" si="121"/>
        <v>0.32997831523842269</v>
      </c>
      <c r="L98" s="294">
        <f t="shared" ca="1" si="121"/>
        <v>0.32883139996273025</v>
      </c>
      <c r="M98" s="294">
        <f t="shared" ca="1" si="121"/>
        <v>0.32835226595366579</v>
      </c>
      <c r="N98" s="294">
        <f t="shared" ca="1" si="121"/>
        <v>0.32786556682004059</v>
      </c>
    </row>
  </sheetData>
  <pageMargins left="0.7" right="0.7"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W238"/>
  <sheetViews>
    <sheetView showGridLines="0" zoomScale="85" zoomScaleNormal="85" workbookViewId="0">
      <pane xSplit="3" ySplit="5" topLeftCell="D73" activePane="bottomRight" state="frozen"/>
      <selection pane="topRight" activeCell="D1" sqref="D1"/>
      <selection pane="bottomLeft" activeCell="A6" sqref="A6"/>
      <selection pane="bottomRight" activeCell="F106" sqref="F106"/>
    </sheetView>
  </sheetViews>
  <sheetFormatPr defaultRowHeight="12.75" x14ac:dyDescent="0.2"/>
  <cols>
    <col min="1" max="3" width="9.140625" style="1"/>
    <col min="4" max="10" width="15.7109375" style="1" customWidth="1"/>
    <col min="11" max="11" width="4.140625" style="1" customWidth="1"/>
    <col min="12" max="12" width="9.140625" style="1"/>
    <col min="13" max="13" width="4" style="1" customWidth="1"/>
    <col min="14" max="15" width="9.140625" style="1"/>
    <col min="16" max="16" width="10.28515625" style="1" customWidth="1"/>
    <col min="17" max="16384" width="9.140625" style="1"/>
  </cols>
  <sheetData>
    <row r="1" spans="1:18" x14ac:dyDescent="0.2">
      <c r="O1" s="389">
        <f>44000/44</f>
        <v>1000</v>
      </c>
      <c r="P1" s="1" t="s">
        <v>2236</v>
      </c>
    </row>
    <row r="2" spans="1:18" x14ac:dyDescent="0.2">
      <c r="O2" s="350">
        <v>320</v>
      </c>
      <c r="P2" s="10" t="s">
        <v>269</v>
      </c>
      <c r="Q2" s="10"/>
      <c r="R2" s="10"/>
    </row>
    <row r="3" spans="1:18" x14ac:dyDescent="0.2">
      <c r="O3" s="390">
        <f>O1/O2</f>
        <v>3.125</v>
      </c>
      <c r="P3" s="1" t="s">
        <v>272</v>
      </c>
    </row>
    <row r="4" spans="1:18" s="10" customFormat="1" x14ac:dyDescent="0.2">
      <c r="D4" s="351">
        <v>2012</v>
      </c>
      <c r="E4" s="351">
        <v>2013</v>
      </c>
      <c r="F4" s="285">
        <v>2014</v>
      </c>
      <c r="G4" s="285">
        <f t="shared" ref="G4:J4" si="0">+F4+1</f>
        <v>2015</v>
      </c>
      <c r="H4" s="285">
        <f t="shared" si="0"/>
        <v>2016</v>
      </c>
      <c r="I4" s="285">
        <f t="shared" si="0"/>
        <v>2017</v>
      </c>
      <c r="J4" s="285">
        <f t="shared" si="0"/>
        <v>2018</v>
      </c>
      <c r="K4" s="285"/>
    </row>
    <row r="5" spans="1:18" ht="3" customHeight="1" x14ac:dyDescent="0.2">
      <c r="D5" s="286" t="s">
        <v>180</v>
      </c>
      <c r="E5" s="286" t="s">
        <v>180</v>
      </c>
      <c r="F5" s="286" t="s">
        <v>180</v>
      </c>
      <c r="G5" s="286" t="s">
        <v>180</v>
      </c>
      <c r="H5" s="286" t="s">
        <v>180</v>
      </c>
      <c r="I5" s="286" t="s">
        <v>180</v>
      </c>
      <c r="J5" s="286" t="s">
        <v>180</v>
      </c>
      <c r="K5" s="286"/>
    </row>
    <row r="6" spans="1:18" x14ac:dyDescent="0.2">
      <c r="A6" s="12" t="s">
        <v>2205</v>
      </c>
    </row>
    <row r="8" spans="1:18" x14ac:dyDescent="0.2">
      <c r="A8" s="346" t="s">
        <v>286</v>
      </c>
      <c r="L8" s="395" t="s">
        <v>2240</v>
      </c>
    </row>
    <row r="9" spans="1:18" x14ac:dyDescent="0.2">
      <c r="A9" s="1" t="s">
        <v>281</v>
      </c>
      <c r="D9" s="7">
        <f>'Census Data'!H49</f>
        <v>4640802</v>
      </c>
      <c r="E9" s="7">
        <f t="shared" ref="E9:J12" si="1">+D9*(1+$L9)</f>
        <v>4710414.0299999993</v>
      </c>
      <c r="F9" s="7">
        <f t="shared" si="1"/>
        <v>4781070.2404499985</v>
      </c>
      <c r="G9" s="7">
        <f t="shared" si="1"/>
        <v>4852786.294056748</v>
      </c>
      <c r="H9" s="7">
        <f t="shared" si="1"/>
        <v>4925578.0884675989</v>
      </c>
      <c r="I9" s="7">
        <f t="shared" si="1"/>
        <v>4999461.7597946124</v>
      </c>
      <c r="J9" s="7">
        <f t="shared" si="1"/>
        <v>5074453.6861915309</v>
      </c>
      <c r="K9" s="7"/>
      <c r="L9" s="367">
        <v>1.4999999999999999E-2</v>
      </c>
      <c r="M9" s="368"/>
    </row>
    <row r="10" spans="1:18" x14ac:dyDescent="0.2">
      <c r="A10" s="1" t="s">
        <v>2242</v>
      </c>
      <c r="D10" s="7">
        <f>+'Census Data'!H398</f>
        <v>5860342</v>
      </c>
      <c r="E10" s="7">
        <f t="shared" si="1"/>
        <v>5948247.1299999999</v>
      </c>
      <c r="F10" s="7">
        <f t="shared" si="1"/>
        <v>6037470.8369499994</v>
      </c>
      <c r="G10" s="7">
        <f t="shared" si="1"/>
        <v>6128032.899504249</v>
      </c>
      <c r="H10" s="7">
        <f t="shared" si="1"/>
        <v>6219953.3929968122</v>
      </c>
      <c r="I10" s="7">
        <f t="shared" si="1"/>
        <v>6313252.6938917637</v>
      </c>
      <c r="J10" s="7">
        <f t="shared" si="1"/>
        <v>6407951.4843001394</v>
      </c>
      <c r="K10" s="7"/>
      <c r="L10" s="369">
        <v>1.4999999999999999E-2</v>
      </c>
      <c r="M10" s="368"/>
    </row>
    <row r="11" spans="1:18" x14ac:dyDescent="0.2">
      <c r="A11" s="1" t="s">
        <v>2248</v>
      </c>
      <c r="D11" s="7">
        <f>+'Census Data'!H271</f>
        <v>19831858</v>
      </c>
      <c r="E11" s="7">
        <f t="shared" si="1"/>
        <v>20129335.869999997</v>
      </c>
      <c r="F11" s="7">
        <f t="shared" si="1"/>
        <v>20431275.908049997</v>
      </c>
      <c r="G11" s="7">
        <f t="shared" si="1"/>
        <v>20737745.046670746</v>
      </c>
      <c r="H11" s="7">
        <f t="shared" si="1"/>
        <v>21048811.222370807</v>
      </c>
      <c r="I11" s="7">
        <f t="shared" si="1"/>
        <v>21364543.390706368</v>
      </c>
      <c r="J11" s="7">
        <f t="shared" si="1"/>
        <v>21685011.541566961</v>
      </c>
      <c r="K11" s="7"/>
      <c r="L11" s="369">
        <v>1.4999999999999999E-2</v>
      </c>
      <c r="M11" s="368"/>
    </row>
    <row r="12" spans="1:18" x14ac:dyDescent="0.2">
      <c r="A12" s="1" t="s">
        <v>283</v>
      </c>
      <c r="D12" s="7">
        <f>+'Census Data'!H295</f>
        <v>6018800</v>
      </c>
      <c r="E12" s="7">
        <f t="shared" si="1"/>
        <v>6109081.9999999991</v>
      </c>
      <c r="F12" s="7">
        <f t="shared" si="1"/>
        <v>6200718.2299999986</v>
      </c>
      <c r="G12" s="7">
        <f t="shared" si="1"/>
        <v>6293729.0034499979</v>
      </c>
      <c r="H12" s="7">
        <f t="shared" si="1"/>
        <v>6388134.9385017473</v>
      </c>
      <c r="I12" s="7">
        <f t="shared" si="1"/>
        <v>6483956.9625792727</v>
      </c>
      <c r="J12" s="7">
        <f t="shared" si="1"/>
        <v>6581216.3170179613</v>
      </c>
      <c r="K12" s="7"/>
      <c r="L12" s="370">
        <v>1.4999999999999999E-2</v>
      </c>
      <c r="M12" s="368"/>
    </row>
    <row r="14" spans="1:18" x14ac:dyDescent="0.2">
      <c r="A14" s="346" t="s">
        <v>289</v>
      </c>
    </row>
    <row r="15" spans="1:18" x14ac:dyDescent="0.2">
      <c r="A15" s="1" t="s">
        <v>2206</v>
      </c>
      <c r="D15" s="287">
        <f>+'Census Data'!H244</f>
        <v>5762717</v>
      </c>
      <c r="E15" s="7">
        <f t="shared" ref="E15:J17" si="2">+D15*(1+$L15)</f>
        <v>5849157.7549999999</v>
      </c>
      <c r="F15" s="7">
        <f t="shared" si="2"/>
        <v>5936895.1213249993</v>
      </c>
      <c r="G15" s="7">
        <f t="shared" si="2"/>
        <v>6025948.5481448732</v>
      </c>
      <c r="H15" s="7">
        <f t="shared" si="2"/>
        <v>6116337.7763670459</v>
      </c>
      <c r="I15" s="7">
        <f t="shared" si="2"/>
        <v>6208082.8430125508</v>
      </c>
      <c r="J15" s="7">
        <f t="shared" si="2"/>
        <v>6301204.0856577381</v>
      </c>
      <c r="K15" s="7"/>
      <c r="L15" s="367">
        <v>1.4999999999999999E-2</v>
      </c>
      <c r="M15" s="368"/>
    </row>
    <row r="16" spans="1:18" x14ac:dyDescent="0.2">
      <c r="A16" s="1" t="s">
        <v>285</v>
      </c>
      <c r="D16" s="287">
        <f>+'Census Data'!H286</f>
        <v>2223674</v>
      </c>
      <c r="E16" s="7">
        <f t="shared" si="2"/>
        <v>2257029.11</v>
      </c>
      <c r="F16" s="7">
        <f t="shared" si="2"/>
        <v>2290884.5466499995</v>
      </c>
      <c r="G16" s="7">
        <f t="shared" si="2"/>
        <v>2325247.8148497492</v>
      </c>
      <c r="H16" s="7">
        <f t="shared" si="2"/>
        <v>2360126.5320724952</v>
      </c>
      <c r="I16" s="7">
        <f t="shared" si="2"/>
        <v>2395528.4300535824</v>
      </c>
      <c r="J16" s="7">
        <f t="shared" si="2"/>
        <v>2431461.3565043858</v>
      </c>
      <c r="K16" s="7"/>
      <c r="L16" s="369">
        <v>1.4999999999999999E-2</v>
      </c>
      <c r="M16" s="368"/>
    </row>
    <row r="17" spans="1:13" x14ac:dyDescent="0.2">
      <c r="A17" s="1" t="s">
        <v>284</v>
      </c>
      <c r="D17" s="287">
        <f>+'Census Data'!H376</f>
        <v>2842878</v>
      </c>
      <c r="E17" s="7">
        <f t="shared" si="2"/>
        <v>2885521.17</v>
      </c>
      <c r="F17" s="7">
        <f t="shared" si="2"/>
        <v>2928803.9875499997</v>
      </c>
      <c r="G17" s="7">
        <f t="shared" si="2"/>
        <v>2972736.0473632496</v>
      </c>
      <c r="H17" s="7">
        <f t="shared" si="2"/>
        <v>3017327.0880736979</v>
      </c>
      <c r="I17" s="7">
        <f t="shared" si="2"/>
        <v>3062586.994394803</v>
      </c>
      <c r="J17" s="7">
        <f t="shared" si="2"/>
        <v>3108525.7993107247</v>
      </c>
      <c r="K17" s="7"/>
      <c r="L17" s="370">
        <v>1.4999999999999999E-2</v>
      </c>
      <c r="M17" s="368"/>
    </row>
    <row r="19" spans="1:13" x14ac:dyDescent="0.2">
      <c r="A19" s="346" t="s">
        <v>287</v>
      </c>
    </row>
    <row r="20" spans="1:13" x14ac:dyDescent="0.2">
      <c r="A20" s="1" t="s">
        <v>279</v>
      </c>
      <c r="D20" s="7">
        <f>+'Census Data'!H78</f>
        <v>9522434</v>
      </c>
      <c r="E20" s="7">
        <f t="shared" ref="E20:J22" si="3">+D20*(1+$L20)</f>
        <v>9665270.5099999998</v>
      </c>
      <c r="F20" s="7">
        <f t="shared" si="3"/>
        <v>9810249.5676499996</v>
      </c>
      <c r="G20" s="7">
        <f t="shared" si="3"/>
        <v>9957403.3111647479</v>
      </c>
      <c r="H20" s="7">
        <f t="shared" si="3"/>
        <v>10106764.360832218</v>
      </c>
      <c r="I20" s="7">
        <f t="shared" si="3"/>
        <v>10258365.826244701</v>
      </c>
      <c r="J20" s="7">
        <f t="shared" si="3"/>
        <v>10412241.31363837</v>
      </c>
      <c r="K20" s="7"/>
      <c r="L20" s="367">
        <v>1.4999999999999999E-2</v>
      </c>
      <c r="M20" s="368"/>
    </row>
    <row r="21" spans="1:13" x14ac:dyDescent="0.2">
      <c r="A21" s="1" t="s">
        <v>282</v>
      </c>
      <c r="D21" s="287">
        <f>'Census Data'!H113</f>
        <v>4292060</v>
      </c>
      <c r="E21" s="7">
        <f t="shared" si="3"/>
        <v>4356440.8999999994</v>
      </c>
      <c r="F21" s="7">
        <f t="shared" si="3"/>
        <v>4421787.5134999994</v>
      </c>
      <c r="G21" s="7">
        <f t="shared" si="3"/>
        <v>4488114.3262024987</v>
      </c>
      <c r="H21" s="7">
        <f t="shared" si="3"/>
        <v>4555436.0410955362</v>
      </c>
      <c r="I21" s="7">
        <f t="shared" si="3"/>
        <v>4623767.5817119684</v>
      </c>
      <c r="J21" s="7">
        <f t="shared" si="3"/>
        <v>4693124.0954376478</v>
      </c>
      <c r="K21" s="7"/>
      <c r="L21" s="369">
        <v>1.4999999999999999E-2</v>
      </c>
      <c r="M21" s="368"/>
    </row>
    <row r="22" spans="1:13" x14ac:dyDescent="0.2">
      <c r="A22" s="1" t="s">
        <v>280</v>
      </c>
      <c r="D22" s="287">
        <f>+'Census Data'!H252</f>
        <v>3422264</v>
      </c>
      <c r="E22" s="7">
        <f t="shared" si="3"/>
        <v>3473597.9599999995</v>
      </c>
      <c r="F22" s="7">
        <f t="shared" si="3"/>
        <v>3525701.9293999993</v>
      </c>
      <c r="G22" s="7">
        <f t="shared" si="3"/>
        <v>3578587.4583409987</v>
      </c>
      <c r="H22" s="7">
        <f t="shared" si="3"/>
        <v>3632266.2702161134</v>
      </c>
      <c r="I22" s="7">
        <f t="shared" si="3"/>
        <v>3686750.2642693548</v>
      </c>
      <c r="J22" s="7">
        <f t="shared" si="3"/>
        <v>3742051.5182333947</v>
      </c>
      <c r="K22" s="7"/>
      <c r="L22" s="370">
        <v>1.4999999999999999E-2</v>
      </c>
      <c r="M22" s="368"/>
    </row>
    <row r="23" spans="1:13" x14ac:dyDescent="0.2">
      <c r="D23" s="289"/>
      <c r="E23" s="7"/>
      <c r="F23" s="7"/>
      <c r="G23" s="7"/>
      <c r="H23" s="7"/>
      <c r="I23" s="7"/>
      <c r="J23" s="7"/>
      <c r="K23" s="7"/>
      <c r="L23" s="368"/>
      <c r="M23" s="368"/>
    </row>
    <row r="24" spans="1:13" x14ac:dyDescent="0.2">
      <c r="A24" s="346" t="s">
        <v>290</v>
      </c>
    </row>
    <row r="25" spans="1:13" x14ac:dyDescent="0.2">
      <c r="A25" s="1" t="s">
        <v>277</v>
      </c>
      <c r="D25" s="287">
        <f>+'Census Data'!H100</f>
        <v>6700991</v>
      </c>
      <c r="E25" s="7">
        <f t="shared" ref="E25:J26" si="4">+D25*(1+$L25)</f>
        <v>6801505.8649999993</v>
      </c>
      <c r="F25" s="7">
        <f t="shared" si="4"/>
        <v>6903528.4529749984</v>
      </c>
      <c r="G25" s="7">
        <f t="shared" si="4"/>
        <v>7007081.3797696223</v>
      </c>
      <c r="H25" s="7">
        <f t="shared" si="4"/>
        <v>7112187.6004661657</v>
      </c>
      <c r="I25" s="7">
        <f t="shared" si="4"/>
        <v>7218870.4144731574</v>
      </c>
      <c r="J25" s="7">
        <f t="shared" si="4"/>
        <v>7327153.4706902541</v>
      </c>
      <c r="K25" s="7"/>
      <c r="L25" s="367">
        <v>1.4999999999999999E-2</v>
      </c>
      <c r="M25" s="368"/>
    </row>
    <row r="26" spans="1:13" x14ac:dyDescent="0.2">
      <c r="A26" s="1" t="s">
        <v>278</v>
      </c>
      <c r="D26" s="287">
        <f>+'Census Data'!H176</f>
        <v>6177035</v>
      </c>
      <c r="E26" s="7">
        <f t="shared" si="4"/>
        <v>6269690.5249999994</v>
      </c>
      <c r="F26" s="7">
        <f t="shared" si="4"/>
        <v>6363735.8828749992</v>
      </c>
      <c r="G26" s="7">
        <f t="shared" si="4"/>
        <v>6459191.9211181235</v>
      </c>
      <c r="H26" s="7">
        <f t="shared" si="4"/>
        <v>6556079.7999348948</v>
      </c>
      <c r="I26" s="7">
        <f t="shared" si="4"/>
        <v>6654420.9969339175</v>
      </c>
      <c r="J26" s="7">
        <f t="shared" si="4"/>
        <v>6754237.3118879255</v>
      </c>
      <c r="K26" s="7"/>
      <c r="L26" s="370">
        <v>1.4999999999999999E-2</v>
      </c>
      <c r="M26" s="368"/>
    </row>
    <row r="28" spans="1:13" x14ac:dyDescent="0.2">
      <c r="A28" s="346" t="s">
        <v>291</v>
      </c>
    </row>
    <row r="29" spans="1:13" x14ac:dyDescent="0.2">
      <c r="A29" s="1" t="s">
        <v>2245</v>
      </c>
      <c r="D29" s="7">
        <f>+'Census Data'!H111</f>
        <v>2645209</v>
      </c>
      <c r="E29" s="7">
        <f t="shared" ref="E29:J29" si="5">+D29*(1+$L29)</f>
        <v>2684887.1349999998</v>
      </c>
      <c r="F29" s="7">
        <f t="shared" si="5"/>
        <v>2725160.4420249993</v>
      </c>
      <c r="G29" s="7">
        <f t="shared" si="5"/>
        <v>2766037.8486553738</v>
      </c>
      <c r="H29" s="7">
        <f t="shared" si="5"/>
        <v>2807528.4163852041</v>
      </c>
      <c r="I29" s="7">
        <f t="shared" si="5"/>
        <v>2849641.3426309819</v>
      </c>
      <c r="J29" s="7">
        <f t="shared" si="5"/>
        <v>2892385.9627704462</v>
      </c>
      <c r="L29" s="367">
        <v>1.4999999999999999E-2</v>
      </c>
    </row>
    <row r="30" spans="1:13" x14ac:dyDescent="0.2">
      <c r="A30" s="1" t="s">
        <v>276</v>
      </c>
      <c r="D30" s="287">
        <f>+'Census Data'!H227</f>
        <v>13052921</v>
      </c>
      <c r="E30" s="7">
        <f t="shared" ref="E30:J32" si="6">+D30*(1+$L30)</f>
        <v>13248714.814999999</v>
      </c>
      <c r="F30" s="7">
        <f t="shared" si="6"/>
        <v>13447445.537224999</v>
      </c>
      <c r="G30" s="7">
        <f t="shared" si="6"/>
        <v>13649157.220283372</v>
      </c>
      <c r="H30" s="7">
        <f t="shared" si="6"/>
        <v>13853894.578587621</v>
      </c>
      <c r="I30" s="7">
        <f t="shared" si="6"/>
        <v>14061702.997266434</v>
      </c>
      <c r="J30" s="7">
        <f t="shared" si="6"/>
        <v>14272628.54222543</v>
      </c>
      <c r="K30" s="7"/>
      <c r="L30" s="369">
        <v>1.4999999999999999E-2</v>
      </c>
      <c r="M30" s="368"/>
    </row>
    <row r="31" spans="1:13" x14ac:dyDescent="0.2">
      <c r="A31" s="1" t="s">
        <v>275</v>
      </c>
      <c r="D31" s="287">
        <f>+'Census Data'!H340</f>
        <v>4455560</v>
      </c>
      <c r="E31" s="7">
        <f t="shared" si="6"/>
        <v>4522393.3999999994</v>
      </c>
      <c r="F31" s="7">
        <f t="shared" si="6"/>
        <v>4590229.300999999</v>
      </c>
      <c r="G31" s="7">
        <f t="shared" si="6"/>
        <v>4659082.7405149983</v>
      </c>
      <c r="H31" s="7">
        <f t="shared" si="6"/>
        <v>4728968.9816227229</v>
      </c>
      <c r="I31" s="7">
        <f t="shared" si="6"/>
        <v>4799903.5163470637</v>
      </c>
      <c r="J31" s="7">
        <f t="shared" si="6"/>
        <v>4871902.0690922691</v>
      </c>
      <c r="K31" s="7"/>
      <c r="L31" s="369">
        <v>1.4999999999999999E-2</v>
      </c>
      <c r="M31" s="368"/>
    </row>
    <row r="32" spans="1:13" x14ac:dyDescent="0.2">
      <c r="A32" s="1" t="s">
        <v>2207</v>
      </c>
      <c r="D32" s="287">
        <f>+'Census Data'!H300</f>
        <v>4329534</v>
      </c>
      <c r="E32" s="7">
        <f t="shared" si="6"/>
        <v>4394477.01</v>
      </c>
      <c r="F32" s="7">
        <f t="shared" si="6"/>
        <v>4460394.1651499998</v>
      </c>
      <c r="G32" s="7">
        <f t="shared" si="6"/>
        <v>4527300.0776272491</v>
      </c>
      <c r="H32" s="7">
        <f t="shared" si="6"/>
        <v>4595209.5787916575</v>
      </c>
      <c r="I32" s="7">
        <f t="shared" si="6"/>
        <v>4664137.722473532</v>
      </c>
      <c r="J32" s="7">
        <f t="shared" si="6"/>
        <v>4734099.7883106349</v>
      </c>
      <c r="K32" s="7"/>
      <c r="L32" s="370">
        <v>1.4999999999999999E-2</v>
      </c>
      <c r="M32" s="368"/>
    </row>
    <row r="34" spans="1:14" x14ac:dyDescent="0.2">
      <c r="A34" s="346" t="s">
        <v>288</v>
      </c>
    </row>
    <row r="35" spans="1:14" x14ac:dyDescent="0.2">
      <c r="A35" s="1" t="s">
        <v>273</v>
      </c>
      <c r="D35" s="287">
        <f>+'Census Data'!H306</f>
        <v>2289800</v>
      </c>
      <c r="E35" s="7">
        <f t="shared" ref="E35:J36" si="7">+D35*(1+$L35)</f>
        <v>2324147</v>
      </c>
      <c r="F35" s="7">
        <f t="shared" si="7"/>
        <v>2359009.2049999996</v>
      </c>
      <c r="G35" s="7">
        <f t="shared" si="7"/>
        <v>2394394.3430749993</v>
      </c>
      <c r="H35" s="7">
        <f t="shared" si="7"/>
        <v>2430310.2582211238</v>
      </c>
      <c r="I35" s="7">
        <f t="shared" si="7"/>
        <v>2466764.9120944403</v>
      </c>
      <c r="J35" s="7">
        <f t="shared" si="7"/>
        <v>2503766.3857758567</v>
      </c>
      <c r="K35" s="7"/>
      <c r="L35" s="367">
        <v>1.4999999999999999E-2</v>
      </c>
      <c r="M35" s="368"/>
    </row>
    <row r="36" spans="1:14" x14ac:dyDescent="0.2">
      <c r="A36" s="1" t="s">
        <v>274</v>
      </c>
      <c r="D36" s="287">
        <f>+'Census Data'!H352</f>
        <v>3552157</v>
      </c>
      <c r="E36" s="7">
        <f t="shared" si="7"/>
        <v>3605439.3549999995</v>
      </c>
      <c r="F36" s="7">
        <f t="shared" si="7"/>
        <v>3659520.9453249993</v>
      </c>
      <c r="G36" s="7">
        <f t="shared" si="7"/>
        <v>3714413.7595048738</v>
      </c>
      <c r="H36" s="7">
        <f t="shared" si="7"/>
        <v>3770129.9658974465</v>
      </c>
      <c r="I36" s="7">
        <f t="shared" si="7"/>
        <v>3826681.915385908</v>
      </c>
      <c r="J36" s="7">
        <f t="shared" si="7"/>
        <v>3884082.1441166964</v>
      </c>
      <c r="K36" s="7"/>
      <c r="L36" s="370">
        <v>1.4999999999999999E-2</v>
      </c>
      <c r="M36" s="368"/>
    </row>
    <row r="37" spans="1:14" x14ac:dyDescent="0.2">
      <c r="D37" s="287"/>
      <c r="E37" s="7"/>
      <c r="F37" s="7"/>
      <c r="G37" s="7"/>
      <c r="H37" s="7"/>
      <c r="I37" s="7"/>
      <c r="J37" s="7"/>
      <c r="K37" s="7"/>
      <c r="L37" s="368"/>
      <c r="M37" s="368"/>
    </row>
    <row r="38" spans="1:14" s="5" customFormat="1" x14ac:dyDescent="0.2">
      <c r="A38" s="5" t="s">
        <v>2238</v>
      </c>
      <c r="D38" s="348">
        <f>SUM(D9:D36)</f>
        <v>107621036</v>
      </c>
      <c r="E38" s="348">
        <f t="shared" ref="E38:J38" si="8">SUM(E9:E36)</f>
        <v>109235351.54000002</v>
      </c>
      <c r="F38" s="348">
        <f t="shared" si="8"/>
        <v>110873881.81309998</v>
      </c>
      <c r="G38" s="348">
        <f t="shared" si="8"/>
        <v>112536990.04029647</v>
      </c>
      <c r="H38" s="348">
        <f t="shared" si="8"/>
        <v>114225044.89090089</v>
      </c>
      <c r="I38" s="348">
        <f t="shared" si="8"/>
        <v>115938420.56426443</v>
      </c>
      <c r="J38" s="348">
        <f t="shared" si="8"/>
        <v>117677496.87272835</v>
      </c>
      <c r="K38" s="11"/>
      <c r="N38" s="394"/>
    </row>
    <row r="40" spans="1:14" x14ac:dyDescent="0.2">
      <c r="A40" s="12" t="s">
        <v>270</v>
      </c>
    </row>
    <row r="42" spans="1:14" x14ac:dyDescent="0.2">
      <c r="A42" s="346" t="str">
        <f>A8</f>
        <v>Northeast</v>
      </c>
    </row>
    <row r="43" spans="1:14" x14ac:dyDescent="0.2">
      <c r="A43" s="1" t="str">
        <f>A9</f>
        <v>Boston</v>
      </c>
      <c r="D43" s="7"/>
      <c r="E43" s="7"/>
      <c r="F43" s="7">
        <f t="shared" ref="F43:J46" si="9">+F9*$O$3</f>
        <v>14940844.501406245</v>
      </c>
      <c r="G43" s="7">
        <f t="shared" si="9"/>
        <v>15164957.168927338</v>
      </c>
      <c r="H43" s="7">
        <f t="shared" si="9"/>
        <v>15392431.526461247</v>
      </c>
      <c r="I43" s="7">
        <f t="shared" si="9"/>
        <v>15623317.999358164</v>
      </c>
      <c r="J43" s="7">
        <f t="shared" si="9"/>
        <v>15857667.769348534</v>
      </c>
      <c r="K43" s="7"/>
    </row>
    <row r="44" spans="1:14" x14ac:dyDescent="0.2">
      <c r="A44" s="1" t="str">
        <f>A10</f>
        <v>D.C. Metro Area</v>
      </c>
      <c r="D44" s="7"/>
      <c r="E44" s="7"/>
      <c r="F44" s="7">
        <f t="shared" si="9"/>
        <v>18867096.365468748</v>
      </c>
      <c r="G44" s="7">
        <f t="shared" si="9"/>
        <v>19150102.810950778</v>
      </c>
      <c r="H44" s="7">
        <f t="shared" si="9"/>
        <v>19437354.353115037</v>
      </c>
      <c r="I44" s="7">
        <f t="shared" si="9"/>
        <v>19728914.668411762</v>
      </c>
      <c r="J44" s="7">
        <f t="shared" si="9"/>
        <v>20024848.388437934</v>
      </c>
      <c r="K44" s="7"/>
    </row>
    <row r="45" spans="1:14" x14ac:dyDescent="0.2">
      <c r="A45" s="1" t="str">
        <f>A11</f>
        <v>NY / NJ Metro Area</v>
      </c>
      <c r="D45" s="7"/>
      <c r="E45" s="7"/>
      <c r="F45" s="7">
        <f t="shared" si="9"/>
        <v>63847737.212656237</v>
      </c>
      <c r="G45" s="7">
        <f t="shared" si="9"/>
        <v>64805453.270846084</v>
      </c>
      <c r="H45" s="7">
        <f t="shared" si="9"/>
        <v>65777535.069908775</v>
      </c>
      <c r="I45" s="7">
        <f t="shared" si="9"/>
        <v>66764198.095957398</v>
      </c>
      <c r="J45" s="7">
        <f t="shared" si="9"/>
        <v>67765661.067396745</v>
      </c>
      <c r="K45" s="7"/>
    </row>
    <row r="46" spans="1:14" x14ac:dyDescent="0.2">
      <c r="A46" s="1" t="str">
        <f>A12</f>
        <v>Philadelphia</v>
      </c>
      <c r="D46" s="7"/>
      <c r="E46" s="7"/>
      <c r="F46" s="7">
        <f t="shared" si="9"/>
        <v>19377244.468749996</v>
      </c>
      <c r="G46" s="7">
        <f t="shared" si="9"/>
        <v>19667903.135781243</v>
      </c>
      <c r="H46" s="7">
        <f t="shared" si="9"/>
        <v>19962921.682817962</v>
      </c>
      <c r="I46" s="7">
        <f t="shared" si="9"/>
        <v>20262365.508060228</v>
      </c>
      <c r="J46" s="7">
        <f t="shared" si="9"/>
        <v>20566300.99068113</v>
      </c>
      <c r="K46" s="7"/>
    </row>
    <row r="48" spans="1:14" x14ac:dyDescent="0.2">
      <c r="A48" s="346" t="str">
        <f>A14</f>
        <v>Florida</v>
      </c>
    </row>
    <row r="49" spans="1:11" x14ac:dyDescent="0.2">
      <c r="A49" s="1" t="str">
        <f>A15</f>
        <v>Miami / Fort Lauderdale</v>
      </c>
      <c r="D49" s="7"/>
      <c r="E49" s="7"/>
      <c r="F49" s="7">
        <f t="shared" ref="F49:J51" si="10">+F15*$O$3</f>
        <v>18552797.254140623</v>
      </c>
      <c r="G49" s="7">
        <f t="shared" si="10"/>
        <v>18831089.212952729</v>
      </c>
      <c r="H49" s="7">
        <f t="shared" si="10"/>
        <v>19113555.551147018</v>
      </c>
      <c r="I49" s="7">
        <f t="shared" si="10"/>
        <v>19400258.884414222</v>
      </c>
      <c r="J49" s="7">
        <f t="shared" si="10"/>
        <v>19691262.767680433</v>
      </c>
      <c r="K49" s="7"/>
    </row>
    <row r="50" spans="1:11" x14ac:dyDescent="0.2">
      <c r="A50" s="1" t="str">
        <f>A16</f>
        <v>Orlando</v>
      </c>
      <c r="D50" s="7"/>
      <c r="E50" s="7"/>
      <c r="F50" s="7">
        <f t="shared" si="10"/>
        <v>7159014.2082812479</v>
      </c>
      <c r="G50" s="7">
        <f t="shared" si="10"/>
        <v>7266399.4214054663</v>
      </c>
      <c r="H50" s="7">
        <f t="shared" si="10"/>
        <v>7375395.4127265476</v>
      </c>
      <c r="I50" s="7">
        <f t="shared" si="10"/>
        <v>7486026.3439174453</v>
      </c>
      <c r="J50" s="7">
        <f t="shared" si="10"/>
        <v>7598316.7390762055</v>
      </c>
      <c r="K50" s="7"/>
    </row>
    <row r="51" spans="1:11" x14ac:dyDescent="0.2">
      <c r="A51" s="1" t="str">
        <f>A17</f>
        <v>Tampa Bay</v>
      </c>
      <c r="D51" s="7"/>
      <c r="E51" s="7"/>
      <c r="F51" s="7">
        <f t="shared" si="10"/>
        <v>9152512.4610937499</v>
      </c>
      <c r="G51" s="7">
        <f t="shared" si="10"/>
        <v>9289800.1480101552</v>
      </c>
      <c r="H51" s="7">
        <f t="shared" si="10"/>
        <v>9429147.1502303053</v>
      </c>
      <c r="I51" s="7">
        <f t="shared" si="10"/>
        <v>9570584.3574837595</v>
      </c>
      <c r="J51" s="7">
        <f t="shared" si="10"/>
        <v>9714143.1228460148</v>
      </c>
      <c r="K51" s="7"/>
    </row>
    <row r="53" spans="1:11" x14ac:dyDescent="0.2">
      <c r="A53" s="346" t="str">
        <f>A19</f>
        <v>Mid-West</v>
      </c>
    </row>
    <row r="54" spans="1:11" x14ac:dyDescent="0.2">
      <c r="A54" s="1" t="str">
        <f>A20</f>
        <v>Chicago</v>
      </c>
      <c r="D54" s="7"/>
      <c r="E54" s="7"/>
      <c r="F54" s="7">
        <f t="shared" ref="F54:J56" si="11">+F20*$O$3</f>
        <v>30657029.89890625</v>
      </c>
      <c r="G54" s="7">
        <f t="shared" si="11"/>
        <v>31116885.347389836</v>
      </c>
      <c r="H54" s="7">
        <f t="shared" si="11"/>
        <v>31583638.627600681</v>
      </c>
      <c r="I54" s="7">
        <f t="shared" si="11"/>
        <v>32057393.207014691</v>
      </c>
      <c r="J54" s="7">
        <f t="shared" si="11"/>
        <v>32538254.105119906</v>
      </c>
      <c r="K54" s="7"/>
    </row>
    <row r="55" spans="1:11" x14ac:dyDescent="0.2">
      <c r="A55" s="1" t="str">
        <f>A21</f>
        <v>Detriot</v>
      </c>
      <c r="D55" s="7"/>
      <c r="E55" s="7"/>
      <c r="F55" s="7">
        <f t="shared" si="11"/>
        <v>13818085.979687499</v>
      </c>
      <c r="G55" s="7">
        <f t="shared" si="11"/>
        <v>14025357.269382808</v>
      </c>
      <c r="H55" s="7">
        <f t="shared" si="11"/>
        <v>14235737.628423551</v>
      </c>
      <c r="I55" s="7">
        <f t="shared" si="11"/>
        <v>14449273.692849901</v>
      </c>
      <c r="J55" s="7">
        <f t="shared" si="11"/>
        <v>14666012.798242649</v>
      </c>
      <c r="K55" s="7"/>
    </row>
    <row r="56" spans="1:11" x14ac:dyDescent="0.2">
      <c r="A56" s="1" t="str">
        <f>A22</f>
        <v>Minneapolis</v>
      </c>
      <c r="D56" s="7"/>
      <c r="E56" s="7"/>
      <c r="F56" s="7">
        <f t="shared" si="11"/>
        <v>11017818.529374998</v>
      </c>
      <c r="G56" s="7">
        <f t="shared" si="11"/>
        <v>11183085.807315622</v>
      </c>
      <c r="H56" s="7">
        <f t="shared" si="11"/>
        <v>11350832.094425354</v>
      </c>
      <c r="I56" s="7">
        <f t="shared" si="11"/>
        <v>11521094.575841734</v>
      </c>
      <c r="J56" s="7">
        <f t="shared" si="11"/>
        <v>11693910.994479358</v>
      </c>
      <c r="K56" s="7"/>
    </row>
    <row r="58" spans="1:11" x14ac:dyDescent="0.2">
      <c r="A58" s="346" t="str">
        <f>A24</f>
        <v>Texas</v>
      </c>
    </row>
    <row r="59" spans="1:11" x14ac:dyDescent="0.2">
      <c r="A59" s="1" t="str">
        <f>A25</f>
        <v>Dallas</v>
      </c>
      <c r="D59" s="7"/>
      <c r="E59" s="7"/>
      <c r="F59" s="7">
        <f t="shared" ref="F59:J60" si="12">+F25*$O$3</f>
        <v>21573526.415546872</v>
      </c>
      <c r="G59" s="7">
        <f t="shared" si="12"/>
        <v>21897129.311780069</v>
      </c>
      <c r="H59" s="7">
        <f t="shared" si="12"/>
        <v>22225586.251456767</v>
      </c>
      <c r="I59" s="7">
        <f t="shared" si="12"/>
        <v>22558970.045228615</v>
      </c>
      <c r="J59" s="7">
        <f t="shared" si="12"/>
        <v>22897354.595907044</v>
      </c>
      <c r="K59" s="7"/>
    </row>
    <row r="60" spans="1:11" x14ac:dyDescent="0.2">
      <c r="A60" s="1" t="str">
        <f>A26</f>
        <v>Houston</v>
      </c>
      <c r="D60" s="7"/>
      <c r="E60" s="7"/>
      <c r="F60" s="7">
        <f t="shared" si="12"/>
        <v>19886674.633984372</v>
      </c>
      <c r="G60" s="7">
        <f t="shared" si="12"/>
        <v>20184974.753494136</v>
      </c>
      <c r="H60" s="7">
        <f t="shared" si="12"/>
        <v>20487749.374796547</v>
      </c>
      <c r="I60" s="7">
        <f t="shared" si="12"/>
        <v>20795065.615418494</v>
      </c>
      <c r="J60" s="7">
        <f t="shared" si="12"/>
        <v>21106991.599649768</v>
      </c>
      <c r="K60" s="7"/>
    </row>
    <row r="62" spans="1:11" x14ac:dyDescent="0.2">
      <c r="A62" s="346" t="str">
        <f>A28</f>
        <v>West Region</v>
      </c>
    </row>
    <row r="63" spans="1:11" x14ac:dyDescent="0.2">
      <c r="A63" s="1" t="str">
        <f>A29</f>
        <v>Denver</v>
      </c>
      <c r="F63" s="7">
        <f t="shared" ref="F63:J66" si="13">+F29*$O$3</f>
        <v>8516126.3813281227</v>
      </c>
      <c r="G63" s="7">
        <f t="shared" si="13"/>
        <v>8643868.2770480439</v>
      </c>
      <c r="H63" s="7">
        <f t="shared" si="13"/>
        <v>8773526.3012037631</v>
      </c>
      <c r="I63" s="7">
        <f t="shared" si="13"/>
        <v>8905129.1957218181</v>
      </c>
      <c r="J63" s="7">
        <f t="shared" si="13"/>
        <v>9038706.1336576436</v>
      </c>
    </row>
    <row r="64" spans="1:11" x14ac:dyDescent="0.2">
      <c r="A64" s="1" t="str">
        <f>A30</f>
        <v>Los Angeles</v>
      </c>
      <c r="D64" s="7"/>
      <c r="E64" s="7"/>
      <c r="F64" s="7">
        <f t="shared" si="13"/>
        <v>42023267.30382812</v>
      </c>
      <c r="G64" s="7">
        <f t="shared" si="13"/>
        <v>42653616.313385539</v>
      </c>
      <c r="H64" s="7">
        <f t="shared" si="13"/>
        <v>43293420.558086321</v>
      </c>
      <c r="I64" s="7">
        <f t="shared" si="13"/>
        <v>43942821.866457604</v>
      </c>
      <c r="J64" s="7">
        <f t="shared" si="13"/>
        <v>44601964.194454469</v>
      </c>
      <c r="K64" s="7"/>
    </row>
    <row r="65" spans="1:12" x14ac:dyDescent="0.2">
      <c r="A65" s="1" t="str">
        <f>A31</f>
        <v>San Francisco</v>
      </c>
      <c r="D65" s="7"/>
      <c r="E65" s="7"/>
      <c r="F65" s="7">
        <f t="shared" si="13"/>
        <v>14344466.565624997</v>
      </c>
      <c r="G65" s="7">
        <f t="shared" si="13"/>
        <v>14559633.56410937</v>
      </c>
      <c r="H65" s="7">
        <f t="shared" si="13"/>
        <v>14778028.067571009</v>
      </c>
      <c r="I65" s="7">
        <f t="shared" si="13"/>
        <v>14999698.488584574</v>
      </c>
      <c r="J65" s="7">
        <f t="shared" si="13"/>
        <v>15224693.96591334</v>
      </c>
      <c r="K65" s="7"/>
    </row>
    <row r="66" spans="1:12" x14ac:dyDescent="0.2">
      <c r="A66" s="1" t="str">
        <f>A32</f>
        <v>Phoenix / Scottsdale</v>
      </c>
      <c r="D66" s="7"/>
      <c r="E66" s="7"/>
      <c r="F66" s="7">
        <f t="shared" si="13"/>
        <v>13938731.76609375</v>
      </c>
      <c r="G66" s="7">
        <f t="shared" si="13"/>
        <v>14147812.742585152</v>
      </c>
      <c r="H66" s="7">
        <f t="shared" si="13"/>
        <v>14360029.93372393</v>
      </c>
      <c r="I66" s="7">
        <f t="shared" si="13"/>
        <v>14575430.382729787</v>
      </c>
      <c r="J66" s="7">
        <f t="shared" si="13"/>
        <v>14794061.838470735</v>
      </c>
      <c r="K66" s="7"/>
    </row>
    <row r="68" spans="1:12" x14ac:dyDescent="0.2">
      <c r="A68" s="346" t="str">
        <f>A34</f>
        <v>Pacific Northwest</v>
      </c>
    </row>
    <row r="69" spans="1:12" x14ac:dyDescent="0.2">
      <c r="A69" s="1" t="str">
        <f>A35</f>
        <v>Portland</v>
      </c>
      <c r="D69" s="7"/>
      <c r="E69" s="7"/>
      <c r="F69" s="7">
        <f t="shared" ref="F69:J70" si="14">+F35*$O$3</f>
        <v>7371903.7656249991</v>
      </c>
      <c r="G69" s="7">
        <f t="shared" si="14"/>
        <v>7482482.3221093724</v>
      </c>
      <c r="H69" s="7">
        <f t="shared" si="14"/>
        <v>7594719.5569410119</v>
      </c>
      <c r="I69" s="7">
        <f t="shared" si="14"/>
        <v>7708640.3502951264</v>
      </c>
      <c r="J69" s="7">
        <f t="shared" si="14"/>
        <v>7824269.9555495521</v>
      </c>
      <c r="K69" s="7"/>
    </row>
    <row r="70" spans="1:12" x14ac:dyDescent="0.2">
      <c r="A70" s="1" t="str">
        <f>A36</f>
        <v>Seattle</v>
      </c>
      <c r="D70" s="7"/>
      <c r="E70" s="7"/>
      <c r="F70" s="7">
        <f t="shared" si="14"/>
        <v>11436002.954140622</v>
      </c>
      <c r="G70" s="7">
        <f t="shared" si="14"/>
        <v>11607542.99845273</v>
      </c>
      <c r="H70" s="7">
        <f t="shared" si="14"/>
        <v>11781656.14342952</v>
      </c>
      <c r="I70" s="7">
        <f t="shared" si="14"/>
        <v>11958380.985580962</v>
      </c>
      <c r="J70" s="7">
        <f t="shared" si="14"/>
        <v>12137756.700364677</v>
      </c>
      <c r="K70" s="7"/>
    </row>
    <row r="71" spans="1:12" x14ac:dyDescent="0.2">
      <c r="D71" s="7"/>
      <c r="E71" s="7"/>
      <c r="F71" s="7"/>
      <c r="G71" s="7"/>
      <c r="H71" s="7"/>
      <c r="I71" s="7"/>
      <c r="J71" s="7"/>
      <c r="K71" s="7"/>
    </row>
    <row r="72" spans="1:12" s="5" customFormat="1" x14ac:dyDescent="0.2">
      <c r="A72" s="5" t="s">
        <v>2238</v>
      </c>
      <c r="D72" s="11"/>
      <c r="E72" s="11"/>
      <c r="F72" s="11">
        <f>+SUM(F43:F70)</f>
        <v>346480880.66593742</v>
      </c>
      <c r="G72" s="11">
        <f t="shared" ref="G72:J72" si="15">+SUM(G43:G70)</f>
        <v>351678093.87592649</v>
      </c>
      <c r="H72" s="11">
        <f t="shared" si="15"/>
        <v>356953265.28406531</v>
      </c>
      <c r="I72" s="11">
        <f t="shared" si="15"/>
        <v>362307564.26332629</v>
      </c>
      <c r="J72" s="11">
        <f t="shared" si="15"/>
        <v>367742177.72727615</v>
      </c>
      <c r="K72" s="11"/>
    </row>
    <row r="74" spans="1:12" x14ac:dyDescent="0.2">
      <c r="A74" s="12" t="s">
        <v>271</v>
      </c>
      <c r="D74" s="397"/>
      <c r="E74" s="459">
        <f>+'PFM Rev Model-Bottoms Up'!D113*4/100+0</f>
        <v>0.08</v>
      </c>
    </row>
    <row r="75" spans="1:12" x14ac:dyDescent="0.2">
      <c r="L75" s="1" t="s">
        <v>2251</v>
      </c>
    </row>
    <row r="76" spans="1:12" x14ac:dyDescent="0.2">
      <c r="A76" s="346" t="str">
        <f>A42</f>
        <v>Northeast</v>
      </c>
    </row>
    <row r="77" spans="1:12" x14ac:dyDescent="0.2">
      <c r="A77" s="1" t="str">
        <f>A43</f>
        <v>Boston</v>
      </c>
      <c r="F77" s="372"/>
      <c r="G77" s="372">
        <v>0.03</v>
      </c>
      <c r="H77" s="461">
        <f>+G77+$E$74</f>
        <v>0.11</v>
      </c>
      <c r="I77" s="461">
        <f t="shared" ref="I77:I80" si="16">+H77+$E$74</f>
        <v>0.19</v>
      </c>
      <c r="J77" s="461">
        <f>+I77</f>
        <v>0.19</v>
      </c>
      <c r="K77" s="371"/>
    </row>
    <row r="78" spans="1:12" x14ac:dyDescent="0.2">
      <c r="A78" s="1" t="str">
        <f>A44</f>
        <v>D.C. Metro Area</v>
      </c>
      <c r="F78" s="372"/>
      <c r="G78" s="372">
        <v>0.03</v>
      </c>
      <c r="H78" s="461">
        <f>+G78+$E$74</f>
        <v>0.11</v>
      </c>
      <c r="I78" s="461">
        <f t="shared" si="16"/>
        <v>0.19</v>
      </c>
      <c r="J78" s="461">
        <f t="shared" ref="J78:J80" si="17">+I78</f>
        <v>0.19</v>
      </c>
      <c r="K78" s="371"/>
    </row>
    <row r="79" spans="1:12" x14ac:dyDescent="0.2">
      <c r="A79" s="1" t="str">
        <f>A45</f>
        <v>NY / NJ Metro Area</v>
      </c>
      <c r="F79" s="372">
        <v>0.03</v>
      </c>
      <c r="G79" s="461">
        <f>+F79+$E$74</f>
        <v>0.11</v>
      </c>
      <c r="H79" s="461">
        <f>+G79+$E$74</f>
        <v>0.19</v>
      </c>
      <c r="I79" s="461">
        <f>+H79</f>
        <v>0.19</v>
      </c>
      <c r="J79" s="461">
        <f t="shared" si="17"/>
        <v>0.19</v>
      </c>
      <c r="K79" s="372"/>
    </row>
    <row r="80" spans="1:12" x14ac:dyDescent="0.2">
      <c r="A80" s="1" t="str">
        <f>A46</f>
        <v>Philadelphia</v>
      </c>
      <c r="F80" s="372"/>
      <c r="G80" s="372">
        <v>0.03</v>
      </c>
      <c r="H80" s="372">
        <f>+G80+$E$74</f>
        <v>0.11</v>
      </c>
      <c r="I80" s="372">
        <f t="shared" si="16"/>
        <v>0.19</v>
      </c>
      <c r="J80" s="372">
        <f t="shared" si="17"/>
        <v>0.19</v>
      </c>
      <c r="K80" s="371"/>
    </row>
    <row r="82" spans="1:11" x14ac:dyDescent="0.2">
      <c r="A82" s="346" t="str">
        <f>A48</f>
        <v>Florida</v>
      </c>
    </row>
    <row r="83" spans="1:11" x14ac:dyDescent="0.2">
      <c r="A83" s="1" t="str">
        <f>A49</f>
        <v>Miami / Fort Lauderdale</v>
      </c>
      <c r="F83" s="372"/>
      <c r="G83" s="372">
        <v>0.03</v>
      </c>
      <c r="H83" s="461">
        <f>+G83+$E$74</f>
        <v>0.11</v>
      </c>
      <c r="I83" s="461">
        <f t="shared" ref="I83:I85" si="18">+H83+$E$74</f>
        <v>0.19</v>
      </c>
      <c r="J83" s="461">
        <f>+I83</f>
        <v>0.19</v>
      </c>
      <c r="K83" s="371"/>
    </row>
    <row r="84" spans="1:11" x14ac:dyDescent="0.2">
      <c r="A84" s="1" t="str">
        <f>A50</f>
        <v>Orlando</v>
      </c>
      <c r="F84" s="372"/>
      <c r="G84" s="372">
        <v>0.03</v>
      </c>
      <c r="H84" s="461">
        <f>+G84+$E$74</f>
        <v>0.11</v>
      </c>
      <c r="I84" s="461">
        <f t="shared" si="18"/>
        <v>0.19</v>
      </c>
      <c r="J84" s="461">
        <f t="shared" ref="J84:J90" si="19">+I84</f>
        <v>0.19</v>
      </c>
      <c r="K84" s="371"/>
    </row>
    <row r="85" spans="1:11" x14ac:dyDescent="0.2">
      <c r="A85" s="1" t="str">
        <f>A51</f>
        <v>Tampa Bay</v>
      </c>
      <c r="F85" s="372"/>
      <c r="G85" s="372">
        <v>0.03</v>
      </c>
      <c r="H85" s="461">
        <f>+G85+$E$74</f>
        <v>0.11</v>
      </c>
      <c r="I85" s="461">
        <f t="shared" si="18"/>
        <v>0.19</v>
      </c>
      <c r="J85" s="461">
        <f t="shared" si="19"/>
        <v>0.19</v>
      </c>
      <c r="K85" s="371"/>
    </row>
    <row r="86" spans="1:11" x14ac:dyDescent="0.2">
      <c r="J86" s="372"/>
    </row>
    <row r="87" spans="1:11" x14ac:dyDescent="0.2">
      <c r="A87" s="346" t="str">
        <f>A53</f>
        <v>Mid-West</v>
      </c>
    </row>
    <row r="88" spans="1:11" x14ac:dyDescent="0.2">
      <c r="A88" s="1" t="str">
        <f>A54</f>
        <v>Chicago</v>
      </c>
      <c r="F88" s="372"/>
      <c r="G88" s="372">
        <v>0.03</v>
      </c>
      <c r="H88" s="461">
        <f>+G88+$E$74</f>
        <v>0.11</v>
      </c>
      <c r="I88" s="461">
        <f t="shared" ref="I88:I90" si="20">+H88+$E$74</f>
        <v>0.19</v>
      </c>
      <c r="J88" s="461">
        <f t="shared" si="19"/>
        <v>0.19</v>
      </c>
      <c r="K88" s="371"/>
    </row>
    <row r="89" spans="1:11" x14ac:dyDescent="0.2">
      <c r="A89" s="1" t="str">
        <f>A55</f>
        <v>Detriot</v>
      </c>
      <c r="F89" s="372"/>
      <c r="G89" s="372">
        <v>0.03</v>
      </c>
      <c r="H89" s="461">
        <f>+G89+$E$74</f>
        <v>0.11</v>
      </c>
      <c r="I89" s="461">
        <f t="shared" si="20"/>
        <v>0.19</v>
      </c>
      <c r="J89" s="461">
        <f t="shared" si="19"/>
        <v>0.19</v>
      </c>
      <c r="K89" s="371"/>
    </row>
    <row r="90" spans="1:11" x14ac:dyDescent="0.2">
      <c r="A90" s="1" t="str">
        <f>A56</f>
        <v>Minneapolis</v>
      </c>
      <c r="F90" s="372"/>
      <c r="G90" s="372">
        <v>0.03</v>
      </c>
      <c r="H90" s="461">
        <f>+G90+$E$74</f>
        <v>0.11</v>
      </c>
      <c r="I90" s="461">
        <f t="shared" si="20"/>
        <v>0.19</v>
      </c>
      <c r="J90" s="461">
        <f t="shared" si="19"/>
        <v>0.19</v>
      </c>
      <c r="K90" s="371"/>
    </row>
    <row r="92" spans="1:11" x14ac:dyDescent="0.2">
      <c r="A92" s="346" t="str">
        <f>A58</f>
        <v>Texas</v>
      </c>
    </row>
    <row r="93" spans="1:11" x14ac:dyDescent="0.2">
      <c r="A93" s="1" t="str">
        <f>A59</f>
        <v>Dallas</v>
      </c>
      <c r="F93" s="372"/>
      <c r="G93" s="372">
        <v>0.03</v>
      </c>
      <c r="H93" s="461">
        <f>+G93+$E$74</f>
        <v>0.11</v>
      </c>
      <c r="I93" s="461">
        <f t="shared" ref="I93:I94" si="21">+H93+$E$74</f>
        <v>0.19</v>
      </c>
      <c r="J93" s="461">
        <f t="shared" ref="J93:J94" si="22">+I93</f>
        <v>0.19</v>
      </c>
      <c r="K93" s="371"/>
    </row>
    <row r="94" spans="1:11" x14ac:dyDescent="0.2">
      <c r="A94" s="1" t="str">
        <f>A60</f>
        <v>Houston</v>
      </c>
      <c r="F94" s="372"/>
      <c r="G94" s="372">
        <v>0.03</v>
      </c>
      <c r="H94" s="461">
        <f>+G94+$E$74</f>
        <v>0.11</v>
      </c>
      <c r="I94" s="461">
        <f t="shared" si="21"/>
        <v>0.19</v>
      </c>
      <c r="J94" s="461">
        <f t="shared" si="22"/>
        <v>0.19</v>
      </c>
      <c r="K94" s="371"/>
    </row>
    <row r="95" spans="1:11" x14ac:dyDescent="0.2">
      <c r="F95" s="372"/>
      <c r="G95" s="371"/>
      <c r="H95" s="371"/>
      <c r="I95" s="371"/>
      <c r="J95" s="371"/>
      <c r="K95" s="371"/>
    </row>
    <row r="96" spans="1:11" x14ac:dyDescent="0.2">
      <c r="A96" s="346" t="str">
        <f>A62</f>
        <v>West Region</v>
      </c>
    </row>
    <row r="97" spans="1:20" x14ac:dyDescent="0.2">
      <c r="A97" s="1" t="str">
        <f>A63</f>
        <v>Denver</v>
      </c>
      <c r="G97" s="372">
        <v>0.03</v>
      </c>
      <c r="H97" s="461">
        <f>+G97+$E$74</f>
        <v>0.11</v>
      </c>
      <c r="I97" s="461">
        <f t="shared" ref="I97:I98" si="23">+H97+$E$74</f>
        <v>0.19</v>
      </c>
      <c r="J97" s="461">
        <f t="shared" ref="J97:J100" si="24">+I97</f>
        <v>0.19</v>
      </c>
    </row>
    <row r="98" spans="1:20" x14ac:dyDescent="0.2">
      <c r="A98" s="1" t="str">
        <f>A64</f>
        <v>Los Angeles</v>
      </c>
      <c r="D98" s="371"/>
      <c r="E98" s="371"/>
      <c r="F98" s="371"/>
      <c r="G98" s="372">
        <v>0.03</v>
      </c>
      <c r="H98" s="461">
        <f>+G98+$E$74</f>
        <v>0.11</v>
      </c>
      <c r="I98" s="461">
        <f t="shared" si="23"/>
        <v>0.19</v>
      </c>
      <c r="J98" s="461">
        <f t="shared" si="24"/>
        <v>0.19</v>
      </c>
      <c r="K98" s="371"/>
    </row>
    <row r="99" spans="1:20" x14ac:dyDescent="0.2">
      <c r="A99" s="1" t="str">
        <f>A65</f>
        <v>San Francisco</v>
      </c>
      <c r="D99" s="371"/>
      <c r="E99" s="371"/>
      <c r="F99" s="371">
        <v>0.03</v>
      </c>
      <c r="G99" s="461">
        <f>+F99+$E$74</f>
        <v>0.11</v>
      </c>
      <c r="H99" s="461">
        <f>+G99+$E$74</f>
        <v>0.19</v>
      </c>
      <c r="I99" s="461">
        <f>+H99</f>
        <v>0.19</v>
      </c>
      <c r="J99" s="461">
        <f t="shared" si="24"/>
        <v>0.19</v>
      </c>
      <c r="K99" s="371"/>
    </row>
    <row r="100" spans="1:20" x14ac:dyDescent="0.2">
      <c r="A100" s="1" t="str">
        <f>A66</f>
        <v>Phoenix / Scottsdale</v>
      </c>
      <c r="D100" s="371"/>
      <c r="E100" s="371"/>
      <c r="F100" s="371">
        <v>0.03</v>
      </c>
      <c r="G100" s="461">
        <f>+F100+$E$74</f>
        <v>0.11</v>
      </c>
      <c r="H100" s="461">
        <f>+G100+$E$74</f>
        <v>0.19</v>
      </c>
      <c r="I100" s="461">
        <f>+H100</f>
        <v>0.19</v>
      </c>
      <c r="J100" s="461">
        <f t="shared" si="24"/>
        <v>0.19</v>
      </c>
      <c r="K100" s="371"/>
    </row>
    <row r="102" spans="1:20" x14ac:dyDescent="0.2">
      <c r="A102" s="346" t="str">
        <f>A68</f>
        <v>Pacific Northwest</v>
      </c>
    </row>
    <row r="103" spans="1:20" x14ac:dyDescent="0.2">
      <c r="A103" s="1" t="str">
        <f>A69</f>
        <v>Portland</v>
      </c>
      <c r="F103" s="372"/>
      <c r="G103" s="372">
        <v>0.03</v>
      </c>
      <c r="H103" s="461">
        <f>+G103+$E$74</f>
        <v>0.11</v>
      </c>
      <c r="I103" s="461">
        <f t="shared" ref="I103:I104" si="25">+H103+$E$74</f>
        <v>0.19</v>
      </c>
      <c r="J103" s="461">
        <f t="shared" ref="J103:J104" si="26">+I103</f>
        <v>0.19</v>
      </c>
      <c r="K103" s="371"/>
    </row>
    <row r="104" spans="1:20" x14ac:dyDescent="0.2">
      <c r="A104" s="1" t="str">
        <f>A70</f>
        <v>Seattle</v>
      </c>
      <c r="F104" s="372"/>
      <c r="G104" s="372">
        <v>0.03</v>
      </c>
      <c r="H104" s="461">
        <f>+G104+$E$74</f>
        <v>0.11</v>
      </c>
      <c r="I104" s="461">
        <f t="shared" si="25"/>
        <v>0.19</v>
      </c>
      <c r="J104" s="461">
        <f t="shared" si="26"/>
        <v>0.19</v>
      </c>
      <c r="K104" s="371"/>
    </row>
    <row r="105" spans="1:20" x14ac:dyDescent="0.2">
      <c r="F105" s="372"/>
      <c r="G105" s="372"/>
      <c r="H105" s="372"/>
      <c r="I105" s="372"/>
      <c r="J105" s="372"/>
      <c r="K105" s="371"/>
    </row>
    <row r="106" spans="1:20" x14ac:dyDescent="0.2">
      <c r="F106" s="460">
        <f>AVERAGE(F77:F104)</f>
        <v>0.03</v>
      </c>
      <c r="G106" s="460">
        <f>AVERAGE(G77:G104)</f>
        <v>4.3333333333333349E-2</v>
      </c>
      <c r="H106" s="460">
        <f t="shared" ref="H106:J106" si="27">AVERAGE(H77:H104)</f>
        <v>0.12333333333333335</v>
      </c>
      <c r="I106" s="460">
        <f t="shared" si="27"/>
        <v>0.18999999999999997</v>
      </c>
      <c r="J106" s="460">
        <f t="shared" si="27"/>
        <v>0.18999999999999997</v>
      </c>
      <c r="K106" s="371"/>
    </row>
    <row r="108" spans="1:20" x14ac:dyDescent="0.2">
      <c r="A108" s="12" t="s">
        <v>2209</v>
      </c>
      <c r="N108" s="12" t="s">
        <v>2208</v>
      </c>
    </row>
    <row r="109" spans="1:20" x14ac:dyDescent="0.2">
      <c r="P109" s="285">
        <v>2014</v>
      </c>
      <c r="Q109" s="285">
        <f t="shared" ref="Q109" si="28">+P109+1</f>
        <v>2015</v>
      </c>
      <c r="R109" s="285">
        <f t="shared" ref="R109" si="29">+Q109+1</f>
        <v>2016</v>
      </c>
      <c r="S109" s="285">
        <f t="shared" ref="S109" si="30">+R109+1</f>
        <v>2017</v>
      </c>
      <c r="T109" s="285">
        <f t="shared" ref="T109" si="31">+S109+1</f>
        <v>2018</v>
      </c>
    </row>
    <row r="110" spans="1:20" x14ac:dyDescent="0.2">
      <c r="A110" s="346" t="str">
        <f>+A76</f>
        <v>Northeast</v>
      </c>
      <c r="N110" s="378" t="str">
        <f>+A110</f>
        <v>Northeast</v>
      </c>
      <c r="O110" s="266"/>
      <c r="P110" s="266"/>
      <c r="Q110" s="266"/>
      <c r="R110" s="266"/>
      <c r="S110" s="266"/>
      <c r="T110" s="373"/>
    </row>
    <row r="111" spans="1:20" x14ac:dyDescent="0.2">
      <c r="A111" s="1" t="str">
        <f>+A77</f>
        <v>Boston</v>
      </c>
      <c r="F111" s="7">
        <f t="shared" ref="F111:J114" si="32">+F77*F43</f>
        <v>0</v>
      </c>
      <c r="G111" s="7">
        <f t="shared" si="32"/>
        <v>454948.7150678201</v>
      </c>
      <c r="H111" s="7">
        <f t="shared" si="32"/>
        <v>1693167.4679107373</v>
      </c>
      <c r="I111" s="7">
        <f t="shared" si="32"/>
        <v>2968430.4198780512</v>
      </c>
      <c r="J111" s="7">
        <f t="shared" si="32"/>
        <v>3012956.8761762213</v>
      </c>
      <c r="K111" s="7"/>
      <c r="N111" s="270" t="str">
        <f>+A111</f>
        <v>Boston</v>
      </c>
      <c r="O111" s="10"/>
      <c r="P111" s="375">
        <f>+F111/365</f>
        <v>0</v>
      </c>
      <c r="Q111" s="375">
        <f t="shared" ref="Q111:T111" si="33">+G111/365</f>
        <v>1246.4348358022469</v>
      </c>
      <c r="R111" s="375">
        <f t="shared" si="33"/>
        <v>4638.8149805773628</v>
      </c>
      <c r="S111" s="375">
        <f t="shared" si="33"/>
        <v>8132.6860818576743</v>
      </c>
      <c r="T111" s="376">
        <f t="shared" si="33"/>
        <v>8254.6763730855382</v>
      </c>
    </row>
    <row r="112" spans="1:20" x14ac:dyDescent="0.2">
      <c r="A112" s="1" t="str">
        <f>+A78</f>
        <v>D.C. Metro Area</v>
      </c>
      <c r="F112" s="7">
        <f t="shared" si="32"/>
        <v>0</v>
      </c>
      <c r="G112" s="7">
        <f t="shared" si="32"/>
        <v>574503.08432852337</v>
      </c>
      <c r="H112" s="7">
        <f t="shared" si="32"/>
        <v>2138108.9788426543</v>
      </c>
      <c r="I112" s="7">
        <f t="shared" si="32"/>
        <v>3748493.7869982347</v>
      </c>
      <c r="J112" s="7">
        <f t="shared" si="32"/>
        <v>3804721.1938032075</v>
      </c>
      <c r="K112" s="7"/>
      <c r="N112" s="270" t="str">
        <f>+A112</f>
        <v>D.C. Metro Area</v>
      </c>
      <c r="O112" s="10"/>
      <c r="P112" s="375">
        <f>+F112/365</f>
        <v>0</v>
      </c>
      <c r="Q112" s="375">
        <f t="shared" ref="Q112" si="34">+G112/365</f>
        <v>1573.9810529548586</v>
      </c>
      <c r="R112" s="375">
        <f t="shared" ref="R112" si="35">+H112/365</f>
        <v>5857.8328187469979</v>
      </c>
      <c r="S112" s="375">
        <f t="shared" ref="S112" si="36">+I112/365</f>
        <v>10269.845991775985</v>
      </c>
      <c r="T112" s="376">
        <f t="shared" ref="T112" si="37">+J112/365</f>
        <v>10423.893681652624</v>
      </c>
    </row>
    <row r="113" spans="1:20" x14ac:dyDescent="0.2">
      <c r="A113" s="1" t="str">
        <f>+A79</f>
        <v>NY / NJ Metro Area</v>
      </c>
      <c r="F113" s="7">
        <f t="shared" si="32"/>
        <v>1915432.1163796871</v>
      </c>
      <c r="G113" s="7">
        <f t="shared" si="32"/>
        <v>7128599.8597930688</v>
      </c>
      <c r="H113" s="7">
        <f t="shared" si="32"/>
        <v>12497731.663282668</v>
      </c>
      <c r="I113" s="7">
        <f t="shared" si="32"/>
        <v>12685197.638231905</v>
      </c>
      <c r="J113" s="7">
        <f t="shared" si="32"/>
        <v>12875475.602805382</v>
      </c>
      <c r="K113" s="7"/>
      <c r="N113" s="270" t="str">
        <f>+A113</f>
        <v>NY / NJ Metro Area</v>
      </c>
      <c r="O113" s="10"/>
      <c r="P113" s="375">
        <f>+F113/365</f>
        <v>5247.7592229580468</v>
      </c>
      <c r="Q113" s="375">
        <f t="shared" ref="Q113:T114" si="38">+G113/365</f>
        <v>19530.410574775531</v>
      </c>
      <c r="R113" s="375">
        <f t="shared" si="38"/>
        <v>34240.36072132238</v>
      </c>
      <c r="S113" s="375">
        <f t="shared" si="38"/>
        <v>34753.966132142203</v>
      </c>
      <c r="T113" s="376">
        <f t="shared" si="38"/>
        <v>35275.275624124333</v>
      </c>
    </row>
    <row r="114" spans="1:20" x14ac:dyDescent="0.2">
      <c r="A114" s="1" t="str">
        <f>+A80</f>
        <v>Philadelphia</v>
      </c>
      <c r="F114" s="7">
        <f t="shared" si="32"/>
        <v>0</v>
      </c>
      <c r="G114" s="7">
        <f t="shared" si="32"/>
        <v>590037.09407343727</v>
      </c>
      <c r="H114" s="7">
        <f t="shared" si="32"/>
        <v>2195921.3851099759</v>
      </c>
      <c r="I114" s="7">
        <f t="shared" si="32"/>
        <v>3849849.4465314434</v>
      </c>
      <c r="J114" s="7">
        <f t="shared" si="32"/>
        <v>3907597.1882294146</v>
      </c>
      <c r="K114" s="7"/>
      <c r="N114" s="270" t="str">
        <f>+A114</f>
        <v>Philadelphia</v>
      </c>
      <c r="O114" s="10"/>
      <c r="P114" s="375">
        <f>+F114/365</f>
        <v>0</v>
      </c>
      <c r="Q114" s="375">
        <f t="shared" si="38"/>
        <v>1616.5399837628418</v>
      </c>
      <c r="R114" s="375">
        <f t="shared" si="38"/>
        <v>6016.2229729040437</v>
      </c>
      <c r="S114" s="375">
        <f t="shared" si="38"/>
        <v>10547.532730223133</v>
      </c>
      <c r="T114" s="376">
        <f t="shared" si="38"/>
        <v>10705.745721176478</v>
      </c>
    </row>
    <row r="115" spans="1:20" x14ac:dyDescent="0.2">
      <c r="F115" s="7"/>
      <c r="G115" s="7"/>
      <c r="H115" s="7"/>
      <c r="I115" s="7"/>
      <c r="J115" s="7"/>
      <c r="K115" s="7"/>
      <c r="N115" s="270"/>
      <c r="O115" s="10"/>
      <c r="P115" s="375"/>
      <c r="Q115" s="375"/>
      <c r="R115" s="375"/>
      <c r="S115" s="375"/>
      <c r="T115" s="376"/>
    </row>
    <row r="116" spans="1:20" x14ac:dyDescent="0.2">
      <c r="A116" s="346" t="str">
        <f>+A82</f>
        <v>Florida</v>
      </c>
      <c r="F116" s="7"/>
      <c r="G116" s="7"/>
      <c r="H116" s="7"/>
      <c r="I116" s="7"/>
      <c r="J116" s="7"/>
      <c r="K116" s="7"/>
      <c r="N116" s="379" t="str">
        <f>+A116</f>
        <v>Florida</v>
      </c>
      <c r="O116" s="10"/>
      <c r="P116" s="375"/>
      <c r="Q116" s="375"/>
      <c r="R116" s="375"/>
      <c r="S116" s="375"/>
      <c r="T116" s="376"/>
    </row>
    <row r="117" spans="1:20" x14ac:dyDescent="0.2">
      <c r="A117" s="1" t="str">
        <f>+A83</f>
        <v>Miami / Fort Lauderdale</v>
      </c>
      <c r="F117" s="7">
        <f t="shared" ref="F117:J119" si="39">+F83*F49</f>
        <v>0</v>
      </c>
      <c r="G117" s="7">
        <f t="shared" si="39"/>
        <v>564932.67638858187</v>
      </c>
      <c r="H117" s="7">
        <f t="shared" si="39"/>
        <v>2102491.1106261718</v>
      </c>
      <c r="I117" s="7">
        <f t="shared" si="39"/>
        <v>3686049.1880387021</v>
      </c>
      <c r="J117" s="7">
        <f t="shared" si="39"/>
        <v>3741339.9258592823</v>
      </c>
      <c r="K117" s="7"/>
      <c r="N117" s="270" t="str">
        <f>+A117</f>
        <v>Miami / Fort Lauderdale</v>
      </c>
      <c r="O117" s="10"/>
      <c r="P117" s="375">
        <f t="shared" ref="P117:T119" si="40">+F117/365</f>
        <v>0</v>
      </c>
      <c r="Q117" s="375">
        <f t="shared" si="40"/>
        <v>1547.7607572289915</v>
      </c>
      <c r="R117" s="375">
        <f t="shared" si="40"/>
        <v>5760.2496181538954</v>
      </c>
      <c r="S117" s="375">
        <f t="shared" si="40"/>
        <v>10098.76489873617</v>
      </c>
      <c r="T117" s="376">
        <f t="shared" si="40"/>
        <v>10250.246372217212</v>
      </c>
    </row>
    <row r="118" spans="1:20" x14ac:dyDescent="0.2">
      <c r="A118" s="1" t="str">
        <f>+A84</f>
        <v>Orlando</v>
      </c>
      <c r="F118" s="7">
        <f t="shared" si="39"/>
        <v>0</v>
      </c>
      <c r="G118" s="7">
        <f t="shared" si="39"/>
        <v>217991.98264216399</v>
      </c>
      <c r="H118" s="7">
        <f t="shared" si="39"/>
        <v>811293.49539992027</v>
      </c>
      <c r="I118" s="7">
        <f t="shared" si="39"/>
        <v>1422345.0053443147</v>
      </c>
      <c r="J118" s="7">
        <f t="shared" si="39"/>
        <v>1443680.1804244791</v>
      </c>
      <c r="K118" s="7"/>
      <c r="N118" s="270" t="str">
        <f>+A118</f>
        <v>Orlando</v>
      </c>
      <c r="O118" s="10"/>
      <c r="P118" s="375">
        <f t="shared" si="40"/>
        <v>0</v>
      </c>
      <c r="Q118" s="375">
        <f t="shared" si="40"/>
        <v>597.23830860866849</v>
      </c>
      <c r="R118" s="375">
        <f t="shared" si="40"/>
        <v>2222.721905205261</v>
      </c>
      <c r="S118" s="375">
        <f t="shared" si="40"/>
        <v>3896.8356310803142</v>
      </c>
      <c r="T118" s="376">
        <f t="shared" si="40"/>
        <v>3955.288165546518</v>
      </c>
    </row>
    <row r="119" spans="1:20" x14ac:dyDescent="0.2">
      <c r="A119" s="1" t="str">
        <f>+A85</f>
        <v>Tampa Bay</v>
      </c>
      <c r="F119" s="7">
        <f t="shared" si="39"/>
        <v>0</v>
      </c>
      <c r="G119" s="7">
        <f t="shared" si="39"/>
        <v>278694.00444030465</v>
      </c>
      <c r="H119" s="7">
        <f t="shared" si="39"/>
        <v>1037206.1865253336</v>
      </c>
      <c r="I119" s="7">
        <f t="shared" si="39"/>
        <v>1818411.0279219144</v>
      </c>
      <c r="J119" s="7">
        <f t="shared" si="39"/>
        <v>1845687.1933407427</v>
      </c>
      <c r="K119" s="7"/>
      <c r="N119" s="270" t="str">
        <f>+A119</f>
        <v>Tampa Bay</v>
      </c>
      <c r="O119" s="10"/>
      <c r="P119" s="375">
        <f t="shared" si="40"/>
        <v>0</v>
      </c>
      <c r="Q119" s="375">
        <f t="shared" si="40"/>
        <v>763.54521764467029</v>
      </c>
      <c r="R119" s="375">
        <f t="shared" si="40"/>
        <v>2841.6607850009141</v>
      </c>
      <c r="S119" s="375">
        <f t="shared" si="40"/>
        <v>4981.9480217038754</v>
      </c>
      <c r="T119" s="376">
        <f t="shared" si="40"/>
        <v>5056.6772420294319</v>
      </c>
    </row>
    <row r="120" spans="1:20" x14ac:dyDescent="0.2">
      <c r="F120" s="7"/>
      <c r="G120" s="7"/>
      <c r="H120" s="7"/>
      <c r="I120" s="7"/>
      <c r="J120" s="7"/>
      <c r="K120" s="7"/>
      <c r="N120" s="270"/>
      <c r="O120" s="10"/>
      <c r="P120" s="375"/>
      <c r="Q120" s="375"/>
      <c r="R120" s="375"/>
      <c r="S120" s="375"/>
      <c r="T120" s="376"/>
    </row>
    <row r="121" spans="1:20" x14ac:dyDescent="0.2">
      <c r="A121" s="346" t="str">
        <f>+A87</f>
        <v>Mid-West</v>
      </c>
      <c r="F121" s="7"/>
      <c r="G121" s="7"/>
      <c r="H121" s="7"/>
      <c r="I121" s="7"/>
      <c r="J121" s="7"/>
      <c r="K121" s="7"/>
      <c r="N121" s="379" t="str">
        <f>+A121</f>
        <v>Mid-West</v>
      </c>
      <c r="O121" s="10"/>
      <c r="P121" s="375"/>
      <c r="Q121" s="375"/>
      <c r="R121" s="375"/>
      <c r="S121" s="375"/>
      <c r="T121" s="376"/>
    </row>
    <row r="122" spans="1:20" x14ac:dyDescent="0.2">
      <c r="A122" s="1" t="str">
        <f>+A88</f>
        <v>Chicago</v>
      </c>
      <c r="F122" s="7">
        <f t="shared" ref="F122:J124" si="41">+F88*F54</f>
        <v>0</v>
      </c>
      <c r="G122" s="7">
        <f t="shared" si="41"/>
        <v>933506.560421695</v>
      </c>
      <c r="H122" s="7">
        <f t="shared" si="41"/>
        <v>3474200.2490360751</v>
      </c>
      <c r="I122" s="7">
        <f t="shared" si="41"/>
        <v>6090904.7093327912</v>
      </c>
      <c r="J122" s="7">
        <f t="shared" si="41"/>
        <v>6182268.2799727824</v>
      </c>
      <c r="K122" s="7"/>
      <c r="N122" s="270" t="str">
        <f>+A122</f>
        <v>Chicago</v>
      </c>
      <c r="O122" s="10"/>
      <c r="P122" s="375">
        <f t="shared" ref="P122:T124" si="42">+F122/365</f>
        <v>0</v>
      </c>
      <c r="Q122" s="375">
        <f t="shared" si="42"/>
        <v>2557.5522203334108</v>
      </c>
      <c r="R122" s="375">
        <f t="shared" si="42"/>
        <v>9518.3568466741781</v>
      </c>
      <c r="S122" s="375">
        <f t="shared" si="42"/>
        <v>16687.410162555592</v>
      </c>
      <c r="T122" s="376">
        <f t="shared" si="42"/>
        <v>16937.721314993923</v>
      </c>
    </row>
    <row r="123" spans="1:20" x14ac:dyDescent="0.2">
      <c r="A123" s="1" t="str">
        <f>+A89</f>
        <v>Detriot</v>
      </c>
      <c r="F123" s="7">
        <f t="shared" si="41"/>
        <v>0</v>
      </c>
      <c r="G123" s="7">
        <f t="shared" si="41"/>
        <v>420760.71808148426</v>
      </c>
      <c r="H123" s="7">
        <f t="shared" si="41"/>
        <v>1565931.1391265907</v>
      </c>
      <c r="I123" s="7">
        <f t="shared" si="41"/>
        <v>2745362.0016414812</v>
      </c>
      <c r="J123" s="7">
        <f t="shared" si="41"/>
        <v>2786542.4316661032</v>
      </c>
      <c r="K123" s="7"/>
      <c r="N123" s="270" t="str">
        <f>+A123</f>
        <v>Detriot</v>
      </c>
      <c r="O123" s="10"/>
      <c r="P123" s="375">
        <f t="shared" si="42"/>
        <v>0</v>
      </c>
      <c r="Q123" s="375">
        <f t="shared" si="42"/>
        <v>1152.7690906342034</v>
      </c>
      <c r="R123" s="375">
        <f t="shared" si="42"/>
        <v>4290.2222989769607</v>
      </c>
      <c r="S123" s="375">
        <f t="shared" si="42"/>
        <v>7521.5397305246061</v>
      </c>
      <c r="T123" s="376">
        <f t="shared" si="42"/>
        <v>7634.3628264824747</v>
      </c>
    </row>
    <row r="124" spans="1:20" x14ac:dyDescent="0.2">
      <c r="A124" s="1" t="str">
        <f>+A90</f>
        <v>Minneapolis</v>
      </c>
      <c r="F124" s="7">
        <f t="shared" si="41"/>
        <v>0</v>
      </c>
      <c r="G124" s="7">
        <f t="shared" si="41"/>
        <v>335492.57421946863</v>
      </c>
      <c r="H124" s="7">
        <f t="shared" si="41"/>
        <v>1248591.530386789</v>
      </c>
      <c r="I124" s="7">
        <f t="shared" si="41"/>
        <v>2189007.9694099296</v>
      </c>
      <c r="J124" s="7">
        <f t="shared" si="41"/>
        <v>2221843.0889510782</v>
      </c>
      <c r="K124" s="7"/>
      <c r="N124" s="270" t="str">
        <f>+A124</f>
        <v>Minneapolis</v>
      </c>
      <c r="O124" s="10"/>
      <c r="P124" s="375">
        <f t="shared" si="42"/>
        <v>0</v>
      </c>
      <c r="Q124" s="375">
        <f t="shared" si="42"/>
        <v>919.1577375875853</v>
      </c>
      <c r="R124" s="375">
        <f t="shared" si="42"/>
        <v>3420.7987133884631</v>
      </c>
      <c r="S124" s="375">
        <f t="shared" si="42"/>
        <v>5997.2821079724099</v>
      </c>
      <c r="T124" s="376">
        <f t="shared" si="42"/>
        <v>6087.2413395919948</v>
      </c>
    </row>
    <row r="125" spans="1:20" x14ac:dyDescent="0.2">
      <c r="F125" s="7"/>
      <c r="G125" s="7"/>
      <c r="H125" s="7"/>
      <c r="I125" s="7"/>
      <c r="J125" s="7"/>
      <c r="K125" s="7"/>
      <c r="N125" s="270"/>
      <c r="O125" s="10"/>
      <c r="P125" s="375"/>
      <c r="Q125" s="375"/>
      <c r="R125" s="375"/>
      <c r="S125" s="375"/>
      <c r="T125" s="376"/>
    </row>
    <row r="126" spans="1:20" x14ac:dyDescent="0.2">
      <c r="A126" s="346" t="str">
        <f>+A92</f>
        <v>Texas</v>
      </c>
      <c r="F126" s="7"/>
      <c r="G126" s="7"/>
      <c r="H126" s="7"/>
      <c r="I126" s="7"/>
      <c r="J126" s="7"/>
      <c r="K126" s="7"/>
      <c r="N126" s="379" t="str">
        <f>+A126</f>
        <v>Texas</v>
      </c>
      <c r="O126" s="10"/>
      <c r="P126" s="375"/>
      <c r="Q126" s="375"/>
      <c r="R126" s="375"/>
      <c r="S126" s="375"/>
      <c r="T126" s="376"/>
    </row>
    <row r="127" spans="1:20" x14ac:dyDescent="0.2">
      <c r="A127" s="1" t="str">
        <f>+A93</f>
        <v>Dallas</v>
      </c>
      <c r="F127" s="7">
        <f t="shared" ref="F127:J128" si="43">+F93*F59</f>
        <v>0</v>
      </c>
      <c r="G127" s="7">
        <f t="shared" si="43"/>
        <v>656913.87935340207</v>
      </c>
      <c r="H127" s="7">
        <f t="shared" si="43"/>
        <v>2444814.4876602446</v>
      </c>
      <c r="I127" s="7">
        <f t="shared" si="43"/>
        <v>4286204.3085934371</v>
      </c>
      <c r="J127" s="7">
        <f t="shared" si="43"/>
        <v>4350497.373222338</v>
      </c>
      <c r="K127" s="7"/>
      <c r="N127" s="270" t="str">
        <f>+A127</f>
        <v>Dallas</v>
      </c>
      <c r="O127" s="10"/>
      <c r="P127" s="375">
        <f t="shared" ref="P127:T128" si="44">+F127/365</f>
        <v>0</v>
      </c>
      <c r="Q127" s="375">
        <f t="shared" si="44"/>
        <v>1799.7640530230194</v>
      </c>
      <c r="R127" s="375">
        <f t="shared" si="44"/>
        <v>6698.1218840006704</v>
      </c>
      <c r="S127" s="375">
        <f t="shared" si="44"/>
        <v>11743.025502995719</v>
      </c>
      <c r="T127" s="376">
        <f t="shared" si="44"/>
        <v>11919.170885540652</v>
      </c>
    </row>
    <row r="128" spans="1:20" x14ac:dyDescent="0.2">
      <c r="A128" s="1" t="str">
        <f>+A94</f>
        <v>Houston</v>
      </c>
      <c r="F128" s="7">
        <f t="shared" si="43"/>
        <v>0</v>
      </c>
      <c r="G128" s="7">
        <f t="shared" si="43"/>
        <v>605549.24260482402</v>
      </c>
      <c r="H128" s="7">
        <f t="shared" si="43"/>
        <v>2253652.4312276202</v>
      </c>
      <c r="I128" s="7">
        <f t="shared" si="43"/>
        <v>3951062.466929514</v>
      </c>
      <c r="J128" s="7">
        <f t="shared" si="43"/>
        <v>4010328.4039334562</v>
      </c>
      <c r="K128" s="7"/>
      <c r="N128" s="270" t="str">
        <f>+A128</f>
        <v>Houston</v>
      </c>
      <c r="O128" s="10"/>
      <c r="P128" s="375">
        <f t="shared" si="44"/>
        <v>0</v>
      </c>
      <c r="Q128" s="375">
        <f t="shared" si="44"/>
        <v>1659.0390208351344</v>
      </c>
      <c r="R128" s="375">
        <f t="shared" si="44"/>
        <v>6174.3902225414249</v>
      </c>
      <c r="S128" s="375">
        <f t="shared" si="44"/>
        <v>10824.828676519217</v>
      </c>
      <c r="T128" s="376">
        <f t="shared" si="44"/>
        <v>10987.201106667004</v>
      </c>
    </row>
    <row r="129" spans="1:22" x14ac:dyDescent="0.2">
      <c r="F129" s="7"/>
      <c r="G129" s="7"/>
      <c r="H129" s="7"/>
      <c r="I129" s="7"/>
      <c r="J129" s="7"/>
      <c r="K129" s="7"/>
      <c r="N129" s="270"/>
      <c r="O129" s="10"/>
      <c r="P129" s="375"/>
      <c r="Q129" s="375"/>
      <c r="R129" s="375"/>
      <c r="S129" s="375"/>
      <c r="T129" s="376"/>
    </row>
    <row r="130" spans="1:22" x14ac:dyDescent="0.2">
      <c r="A130" s="346" t="str">
        <f>+A96</f>
        <v>West Region</v>
      </c>
      <c r="F130" s="7"/>
      <c r="G130" s="7"/>
      <c r="H130" s="7"/>
      <c r="I130" s="7"/>
      <c r="J130" s="7"/>
      <c r="K130" s="7"/>
      <c r="N130" s="379" t="str">
        <f>+A130</f>
        <v>West Region</v>
      </c>
      <c r="O130" s="10"/>
      <c r="P130" s="375"/>
      <c r="Q130" s="375"/>
      <c r="R130" s="375"/>
      <c r="S130" s="375"/>
      <c r="T130" s="376"/>
    </row>
    <row r="131" spans="1:22" x14ac:dyDescent="0.2">
      <c r="A131" s="1" t="str">
        <f>+A97</f>
        <v>Denver</v>
      </c>
      <c r="F131" s="7">
        <f t="shared" ref="F131:J134" si="45">+F97*F63</f>
        <v>0</v>
      </c>
      <c r="G131" s="7">
        <f t="shared" si="45"/>
        <v>259316.04831144132</v>
      </c>
      <c r="H131" s="7">
        <f t="shared" si="45"/>
        <v>965087.89313241397</v>
      </c>
      <c r="I131" s="7">
        <f t="shared" si="45"/>
        <v>1691974.5471871456</v>
      </c>
      <c r="J131" s="7">
        <f t="shared" si="45"/>
        <v>1717354.1653949523</v>
      </c>
      <c r="K131" s="7"/>
      <c r="N131" s="270" t="str">
        <f>+A131</f>
        <v>Denver</v>
      </c>
      <c r="O131" s="10"/>
      <c r="P131" s="375">
        <f t="shared" ref="P131" si="46">+F131/365</f>
        <v>0</v>
      </c>
      <c r="Q131" s="375">
        <f t="shared" ref="Q131" si="47">+G131/365</f>
        <v>710.45492688066111</v>
      </c>
      <c r="R131" s="375">
        <f t="shared" ref="R131" si="48">+H131/365</f>
        <v>2644.0764195408601</v>
      </c>
      <c r="S131" s="375">
        <f t="shared" ref="S131" si="49">+I131/365</f>
        <v>4635.5467046223166</v>
      </c>
      <c r="T131" s="376">
        <f t="shared" ref="T131" si="50">+J131/365</f>
        <v>4705.0799051916501</v>
      </c>
    </row>
    <row r="132" spans="1:22" x14ac:dyDescent="0.2">
      <c r="A132" s="1" t="str">
        <f>+A98</f>
        <v>Los Angeles</v>
      </c>
      <c r="F132" s="7">
        <f t="shared" si="45"/>
        <v>0</v>
      </c>
      <c r="G132" s="7">
        <f t="shared" si="45"/>
        <v>1279608.4894015661</v>
      </c>
      <c r="H132" s="7">
        <f t="shared" si="45"/>
        <v>4762276.2613894949</v>
      </c>
      <c r="I132" s="7">
        <f t="shared" si="45"/>
        <v>8349136.154626945</v>
      </c>
      <c r="J132" s="7">
        <f t="shared" si="45"/>
        <v>8474373.196946349</v>
      </c>
      <c r="K132" s="7"/>
      <c r="N132" s="270" t="str">
        <f>+A132</f>
        <v>Los Angeles</v>
      </c>
      <c r="O132" s="10"/>
      <c r="P132" s="375">
        <f t="shared" ref="P132:T134" si="51">+F132/365</f>
        <v>0</v>
      </c>
      <c r="Q132" s="375">
        <f t="shared" si="51"/>
        <v>3505.7766832919619</v>
      </c>
      <c r="R132" s="375">
        <f t="shared" si="51"/>
        <v>13047.332222984918</v>
      </c>
      <c r="S132" s="375">
        <f t="shared" si="51"/>
        <v>22874.34562911492</v>
      </c>
      <c r="T132" s="376">
        <f t="shared" si="51"/>
        <v>23217.460813551643</v>
      </c>
    </row>
    <row r="133" spans="1:22" x14ac:dyDescent="0.2">
      <c r="A133" s="1" t="str">
        <f>+A99</f>
        <v>San Francisco</v>
      </c>
      <c r="F133" s="7">
        <f t="shared" si="45"/>
        <v>430333.99696874991</v>
      </c>
      <c r="G133" s="7">
        <f t="shared" si="45"/>
        <v>1601559.6920520307</v>
      </c>
      <c r="H133" s="7">
        <f t="shared" si="45"/>
        <v>2807825.3328384915</v>
      </c>
      <c r="I133" s="7">
        <f t="shared" si="45"/>
        <v>2849942.7128310692</v>
      </c>
      <c r="J133" s="7">
        <f t="shared" si="45"/>
        <v>2892691.8535235347</v>
      </c>
      <c r="K133" s="7"/>
      <c r="N133" s="270" t="str">
        <f>+A133</f>
        <v>San Francisco</v>
      </c>
      <c r="O133" s="10"/>
      <c r="P133" s="375">
        <f t="shared" si="51"/>
        <v>1178.9972519691778</v>
      </c>
      <c r="Q133" s="375">
        <f t="shared" si="51"/>
        <v>4387.8347727452892</v>
      </c>
      <c r="R133" s="375">
        <f t="shared" si="51"/>
        <v>7692.6721447629907</v>
      </c>
      <c r="S133" s="375">
        <f t="shared" si="51"/>
        <v>7808.0622269344367</v>
      </c>
      <c r="T133" s="376">
        <f t="shared" si="51"/>
        <v>7925.1831603384517</v>
      </c>
    </row>
    <row r="134" spans="1:22" x14ac:dyDescent="0.2">
      <c r="A134" s="1" t="str">
        <f>+A100</f>
        <v>Phoenix / Scottsdale</v>
      </c>
      <c r="F134" s="7">
        <f t="shared" si="45"/>
        <v>418161.95298281248</v>
      </c>
      <c r="G134" s="7">
        <f t="shared" si="45"/>
        <v>1556259.4016843669</v>
      </c>
      <c r="H134" s="7">
        <f t="shared" si="45"/>
        <v>2728405.6874075467</v>
      </c>
      <c r="I134" s="7">
        <f t="shared" si="45"/>
        <v>2769331.7727186596</v>
      </c>
      <c r="J134" s="7">
        <f t="shared" si="45"/>
        <v>2810871.7493094397</v>
      </c>
      <c r="K134" s="7"/>
      <c r="N134" s="270" t="str">
        <f>+A134</f>
        <v>Phoenix / Scottsdale</v>
      </c>
      <c r="O134" s="10"/>
      <c r="P134" s="375">
        <f t="shared" si="51"/>
        <v>1145.6491862542807</v>
      </c>
      <c r="Q134" s="375">
        <f t="shared" si="51"/>
        <v>4263.7243881763479</v>
      </c>
      <c r="R134" s="375">
        <f t="shared" si="51"/>
        <v>7475.0840750891693</v>
      </c>
      <c r="S134" s="375">
        <f t="shared" si="51"/>
        <v>7587.2103362155058</v>
      </c>
      <c r="T134" s="376">
        <f t="shared" si="51"/>
        <v>7701.0184912587392</v>
      </c>
    </row>
    <row r="135" spans="1:22" x14ac:dyDescent="0.2">
      <c r="F135" s="7"/>
      <c r="G135" s="7"/>
      <c r="H135" s="7"/>
      <c r="I135" s="7"/>
      <c r="J135" s="7"/>
      <c r="K135" s="7"/>
      <c r="N135" s="270"/>
      <c r="O135" s="10"/>
      <c r="P135" s="375"/>
      <c r="Q135" s="375"/>
      <c r="R135" s="375"/>
      <c r="S135" s="375"/>
      <c r="T135" s="376"/>
    </row>
    <row r="136" spans="1:22" x14ac:dyDescent="0.2">
      <c r="A136" s="346" t="str">
        <f>+A102</f>
        <v>Pacific Northwest</v>
      </c>
      <c r="F136" s="7"/>
      <c r="G136" s="7"/>
      <c r="H136" s="7"/>
      <c r="I136" s="7"/>
      <c r="J136" s="7"/>
      <c r="K136" s="7"/>
      <c r="N136" s="379" t="str">
        <f>+A136</f>
        <v>Pacific Northwest</v>
      </c>
      <c r="O136" s="10"/>
      <c r="P136" s="375"/>
      <c r="Q136" s="375"/>
      <c r="R136" s="375"/>
      <c r="S136" s="375"/>
      <c r="T136" s="376"/>
    </row>
    <row r="137" spans="1:22" x14ac:dyDescent="0.2">
      <c r="A137" s="1" t="str">
        <f>+A103</f>
        <v>Portland</v>
      </c>
      <c r="F137" s="7">
        <f t="shared" ref="F137:J138" si="52">+F103*F69</f>
        <v>0</v>
      </c>
      <c r="G137" s="7">
        <f t="shared" si="52"/>
        <v>224474.46966328117</v>
      </c>
      <c r="H137" s="7">
        <f t="shared" si="52"/>
        <v>835419.15126351127</v>
      </c>
      <c r="I137" s="7">
        <f t="shared" si="52"/>
        <v>1464641.6665560741</v>
      </c>
      <c r="J137" s="7">
        <f t="shared" si="52"/>
        <v>1486611.2915544149</v>
      </c>
      <c r="K137" s="7"/>
      <c r="N137" s="270" t="str">
        <f>+A137</f>
        <v>Portland</v>
      </c>
      <c r="O137" s="10"/>
      <c r="P137" s="375">
        <f t="shared" ref="P137:T138" si="53">+F137/365</f>
        <v>0</v>
      </c>
      <c r="Q137" s="375">
        <f t="shared" si="53"/>
        <v>614.99854702268817</v>
      </c>
      <c r="R137" s="375">
        <f t="shared" si="53"/>
        <v>2288.8195925027708</v>
      </c>
      <c r="S137" s="375">
        <f t="shared" si="53"/>
        <v>4012.7168946741754</v>
      </c>
      <c r="T137" s="376">
        <f t="shared" si="53"/>
        <v>4072.9076480942872</v>
      </c>
    </row>
    <row r="138" spans="1:22" x14ac:dyDescent="0.2">
      <c r="A138" s="1" t="str">
        <f>+A104</f>
        <v>Seattle</v>
      </c>
      <c r="F138" s="7">
        <f t="shared" si="52"/>
        <v>0</v>
      </c>
      <c r="G138" s="7">
        <f t="shared" si="52"/>
        <v>348226.28995358187</v>
      </c>
      <c r="H138" s="7">
        <f t="shared" si="52"/>
        <v>1295982.1757772472</v>
      </c>
      <c r="I138" s="7">
        <f t="shared" si="52"/>
        <v>2272092.387260383</v>
      </c>
      <c r="J138" s="7">
        <f t="shared" si="52"/>
        <v>2306173.7730692886</v>
      </c>
      <c r="K138" s="7"/>
      <c r="N138" s="374" t="str">
        <f>+A138</f>
        <v>Seattle</v>
      </c>
      <c r="O138" s="6"/>
      <c r="P138" s="8">
        <f t="shared" si="53"/>
        <v>0</v>
      </c>
      <c r="Q138" s="8">
        <f t="shared" si="53"/>
        <v>954.04463000981332</v>
      </c>
      <c r="R138" s="8">
        <f t="shared" si="53"/>
        <v>3550.6360980198551</v>
      </c>
      <c r="S138" s="8">
        <f t="shared" si="53"/>
        <v>6224.910650028447</v>
      </c>
      <c r="T138" s="377">
        <f t="shared" si="53"/>
        <v>6318.2843097788727</v>
      </c>
    </row>
    <row r="139" spans="1:22" x14ac:dyDescent="0.2">
      <c r="F139" s="7"/>
      <c r="G139" s="7"/>
      <c r="H139" s="7"/>
      <c r="I139" s="7"/>
      <c r="J139" s="7"/>
      <c r="K139" s="7"/>
      <c r="N139" s="10"/>
      <c r="O139" s="10"/>
      <c r="P139" s="375"/>
      <c r="Q139" s="375"/>
      <c r="R139" s="375"/>
      <c r="S139" s="375"/>
      <c r="T139" s="375"/>
    </row>
    <row r="140" spans="1:22" s="5" customFormat="1" x14ac:dyDescent="0.2">
      <c r="A140" s="5" t="s">
        <v>2238</v>
      </c>
      <c r="F140" s="11">
        <f>SUM(F111:F138)</f>
        <v>2763928.0663312497</v>
      </c>
      <c r="G140" s="11">
        <f t="shared" ref="G140:J140" si="54">SUM(G111:G138)</f>
        <v>18031374.782481045</v>
      </c>
      <c r="H140" s="11">
        <f t="shared" si="54"/>
        <v>46858106.626943484</v>
      </c>
      <c r="I140" s="11">
        <f t="shared" si="54"/>
        <v>68838437.210031986</v>
      </c>
      <c r="J140" s="11">
        <f t="shared" si="54"/>
        <v>69871013.768182486</v>
      </c>
      <c r="K140" s="11"/>
      <c r="N140" s="3"/>
      <c r="O140" s="3"/>
      <c r="P140" s="448"/>
      <c r="Q140" s="448"/>
      <c r="R140" s="448"/>
      <c r="S140" s="448"/>
      <c r="T140" s="448"/>
    </row>
    <row r="142" spans="1:22" x14ac:dyDescent="0.2">
      <c r="A142" s="12" t="s">
        <v>2249</v>
      </c>
      <c r="E142" s="1" t="s">
        <v>2250</v>
      </c>
      <c r="P142" s="5"/>
      <c r="S142" s="393"/>
      <c r="T142" s="2" t="s">
        <v>2212</v>
      </c>
      <c r="U142" s="6"/>
      <c r="V142" s="1" t="s">
        <v>2211</v>
      </c>
    </row>
    <row r="143" spans="1:22" ht="38.25" x14ac:dyDescent="0.2">
      <c r="A143" s="12"/>
      <c r="P143" s="392" t="s">
        <v>2247</v>
      </c>
      <c r="Q143" s="392" t="s">
        <v>2239</v>
      </c>
      <c r="R143" s="6"/>
      <c r="S143" s="392" t="s">
        <v>2213</v>
      </c>
      <c r="T143" s="383" t="s">
        <v>2214</v>
      </c>
      <c r="U143" s="391" t="s">
        <v>2237</v>
      </c>
    </row>
    <row r="144" spans="1:22" x14ac:dyDescent="0.2">
      <c r="A144" s="346" t="str">
        <f>+A110</f>
        <v>Northeast</v>
      </c>
      <c r="L144" s="442"/>
      <c r="N144" s="378" t="str">
        <f>+A144</f>
        <v>Northeast</v>
      </c>
      <c r="O144" s="266"/>
      <c r="Q144" s="10"/>
      <c r="S144" s="10"/>
      <c r="T144" s="266"/>
      <c r="U144" s="373"/>
    </row>
    <row r="145" spans="1:23" x14ac:dyDescent="0.2">
      <c r="A145" s="1" t="str">
        <f>+A111</f>
        <v>Boston</v>
      </c>
      <c r="D145" s="287"/>
      <c r="E145" s="287"/>
      <c r="F145" s="7">
        <f>+S145*U145+P145*Q145</f>
        <v>134.4</v>
      </c>
      <c r="G145" s="7">
        <f>+F145*(1+$L145)</f>
        <v>134.4</v>
      </c>
      <c r="H145" s="7">
        <f t="shared" ref="H145:J148" si="55">+G145*(1+$L145)</f>
        <v>134.4</v>
      </c>
      <c r="I145" s="7">
        <f t="shared" si="55"/>
        <v>134.4</v>
      </c>
      <c r="J145" s="7">
        <f t="shared" si="55"/>
        <v>134.4</v>
      </c>
      <c r="K145" s="7"/>
      <c r="L145" s="368"/>
      <c r="M145" s="368"/>
      <c r="N145" s="270" t="str">
        <f>+A145</f>
        <v>Boston</v>
      </c>
      <c r="O145" s="10"/>
      <c r="Q145" s="10"/>
      <c r="S145" s="388">
        <v>0.8</v>
      </c>
      <c r="T145" s="380" t="s">
        <v>2215</v>
      </c>
      <c r="U145" s="385">
        <v>168</v>
      </c>
      <c r="W145" s="1" t="s">
        <v>2232</v>
      </c>
    </row>
    <row r="146" spans="1:23" x14ac:dyDescent="0.2">
      <c r="A146" s="1" t="str">
        <f>+A112</f>
        <v>D.C. Metro Area</v>
      </c>
      <c r="D146" s="287"/>
      <c r="E146" s="287"/>
      <c r="F146" s="7">
        <f t="shared" ref="F146:F172" si="56">+S146*U146+P146*Q146</f>
        <v>239.75</v>
      </c>
      <c r="G146" s="7">
        <f>+F146*(1+$L146)</f>
        <v>239.75</v>
      </c>
      <c r="H146" s="7">
        <f t="shared" si="55"/>
        <v>239.75</v>
      </c>
      <c r="I146" s="7">
        <f t="shared" si="55"/>
        <v>239.75</v>
      </c>
      <c r="J146" s="7">
        <f t="shared" si="55"/>
        <v>239.75</v>
      </c>
      <c r="K146" s="7"/>
      <c r="L146" s="368"/>
      <c r="M146" s="368"/>
      <c r="N146" s="270" t="str">
        <f t="shared" ref="N146:N172" si="57">+A146</f>
        <v>D.C. Metro Area</v>
      </c>
      <c r="O146" s="10"/>
      <c r="P146" s="13">
        <v>0.75</v>
      </c>
      <c r="Q146" s="10">
        <f>13+64+42</f>
        <v>119</v>
      </c>
      <c r="S146" s="388">
        <v>0.7</v>
      </c>
      <c r="T146" s="380" t="s">
        <v>2243</v>
      </c>
      <c r="U146" s="385">
        <f>5+140+70</f>
        <v>215</v>
      </c>
      <c r="W146" s="1" t="s">
        <v>2244</v>
      </c>
    </row>
    <row r="147" spans="1:23" x14ac:dyDescent="0.2">
      <c r="A147" s="1" t="str">
        <f>+A113</f>
        <v>NY / NJ Metro Area</v>
      </c>
      <c r="D147" s="287"/>
      <c r="E147" s="287"/>
      <c r="F147" s="7">
        <f t="shared" si="56"/>
        <v>609.30000000000007</v>
      </c>
      <c r="G147" s="7">
        <f>+F147*(1+$L147)</f>
        <v>609.30000000000007</v>
      </c>
      <c r="H147" s="7">
        <f t="shared" si="55"/>
        <v>609.30000000000007</v>
      </c>
      <c r="I147" s="7">
        <f t="shared" si="55"/>
        <v>609.30000000000007</v>
      </c>
      <c r="J147" s="7">
        <f t="shared" si="55"/>
        <v>609.30000000000007</v>
      </c>
      <c r="K147" s="7"/>
      <c r="L147" s="368"/>
      <c r="M147" s="368"/>
      <c r="N147" s="270" t="str">
        <f t="shared" si="57"/>
        <v>NY / NJ Metro Area</v>
      </c>
      <c r="O147" s="10"/>
      <c r="Q147" s="10"/>
      <c r="S147" s="388">
        <v>0.9</v>
      </c>
      <c r="T147" s="380" t="s">
        <v>2216</v>
      </c>
      <c r="U147" s="385">
        <f>186+491</f>
        <v>677</v>
      </c>
      <c r="W147" s="1" t="s">
        <v>2233</v>
      </c>
    </row>
    <row r="148" spans="1:23" x14ac:dyDescent="0.2">
      <c r="A148" s="1" t="str">
        <f>+A114</f>
        <v>Philadelphia</v>
      </c>
      <c r="D148" s="287"/>
      <c r="E148" s="287"/>
      <c r="F148" s="7">
        <f t="shared" si="56"/>
        <v>130.19999999999999</v>
      </c>
      <c r="G148" s="7">
        <f>+F148*(1+$L148)</f>
        <v>130.19999999999999</v>
      </c>
      <c r="H148" s="7">
        <f t="shared" si="55"/>
        <v>130.19999999999999</v>
      </c>
      <c r="I148" s="7">
        <f t="shared" si="55"/>
        <v>130.19999999999999</v>
      </c>
      <c r="J148" s="7">
        <f t="shared" si="55"/>
        <v>130.19999999999999</v>
      </c>
      <c r="K148" s="7"/>
      <c r="L148" s="368"/>
      <c r="M148" s="368"/>
      <c r="N148" s="270" t="str">
        <f t="shared" si="57"/>
        <v>Philadelphia</v>
      </c>
      <c r="O148" s="10"/>
      <c r="Q148" s="10"/>
      <c r="S148" s="388">
        <v>0.7</v>
      </c>
      <c r="T148" s="380" t="s">
        <v>2217</v>
      </c>
      <c r="U148" s="385">
        <f>122+64</f>
        <v>186</v>
      </c>
      <c r="W148" s="1" t="s">
        <v>2234</v>
      </c>
    </row>
    <row r="149" spans="1:23" x14ac:dyDescent="0.2">
      <c r="D149" s="289"/>
      <c r="E149" s="289"/>
      <c r="F149" s="7"/>
      <c r="L149" s="10"/>
      <c r="M149" s="10"/>
      <c r="N149" s="270"/>
      <c r="O149" s="10"/>
      <c r="Q149" s="10"/>
      <c r="S149" s="387"/>
      <c r="T149" s="375"/>
      <c r="U149" s="385"/>
    </row>
    <row r="150" spans="1:23" x14ac:dyDescent="0.2">
      <c r="A150" s="346" t="str">
        <f>+A116</f>
        <v>Florida</v>
      </c>
      <c r="D150" s="289"/>
      <c r="E150" s="289"/>
      <c r="F150" s="7"/>
      <c r="L150" s="10"/>
      <c r="M150" s="10"/>
      <c r="N150" s="379" t="str">
        <f t="shared" si="57"/>
        <v>Florida</v>
      </c>
      <c r="O150" s="10"/>
      <c r="Q150" s="10"/>
      <c r="S150" s="289"/>
      <c r="T150" s="375"/>
      <c r="U150" s="385"/>
    </row>
    <row r="151" spans="1:23" x14ac:dyDescent="0.2">
      <c r="A151" s="1" t="str">
        <f>+A117</f>
        <v>Miami / Fort Lauderdale</v>
      </c>
      <c r="D151" s="287"/>
      <c r="E151" s="287"/>
      <c r="F151" s="7">
        <f t="shared" si="56"/>
        <v>214.25</v>
      </c>
      <c r="G151" s="7">
        <f>+F151*(1+$L151)</f>
        <v>214.25</v>
      </c>
      <c r="H151" s="7">
        <f t="shared" ref="H151:J153" si="58">+G151*(1+$L151)</f>
        <v>214.25</v>
      </c>
      <c r="I151" s="7">
        <f t="shared" si="58"/>
        <v>214.25</v>
      </c>
      <c r="J151" s="7">
        <f t="shared" si="58"/>
        <v>214.25</v>
      </c>
      <c r="K151" s="7"/>
      <c r="L151" s="368"/>
      <c r="M151" s="368"/>
      <c r="N151" s="270" t="str">
        <f t="shared" si="57"/>
        <v>Miami / Fort Lauderdale</v>
      </c>
      <c r="O151" s="10"/>
      <c r="Q151" s="10"/>
      <c r="S151" s="388">
        <v>0.25</v>
      </c>
      <c r="T151" s="380" t="s">
        <v>2218</v>
      </c>
      <c r="U151" s="385">
        <v>857</v>
      </c>
      <c r="W151" s="1" t="s">
        <v>2235</v>
      </c>
    </row>
    <row r="152" spans="1:23" x14ac:dyDescent="0.2">
      <c r="A152" s="1" t="str">
        <f>+A118</f>
        <v>Orlando</v>
      </c>
      <c r="D152" s="287"/>
      <c r="E152" s="287"/>
      <c r="F152" s="7">
        <f t="shared" si="56"/>
        <v>214.25</v>
      </c>
      <c r="G152" s="7">
        <f>+F152*(1+$L152)</f>
        <v>214.25</v>
      </c>
      <c r="H152" s="7">
        <f t="shared" si="58"/>
        <v>214.25</v>
      </c>
      <c r="I152" s="7">
        <f t="shared" si="58"/>
        <v>214.25</v>
      </c>
      <c r="J152" s="7">
        <f t="shared" si="58"/>
        <v>214.25</v>
      </c>
      <c r="K152" s="7"/>
      <c r="L152" s="368"/>
      <c r="M152" s="368"/>
      <c r="N152" s="270" t="str">
        <f t="shared" si="57"/>
        <v>Orlando</v>
      </c>
      <c r="O152" s="10"/>
      <c r="Q152" s="10"/>
      <c r="S152" s="388">
        <v>0.25</v>
      </c>
      <c r="T152" s="380" t="s">
        <v>2218</v>
      </c>
      <c r="U152" s="385">
        <v>857</v>
      </c>
    </row>
    <row r="153" spans="1:23" x14ac:dyDescent="0.2">
      <c r="A153" s="1" t="str">
        <f>+A119</f>
        <v>Tampa Bay</v>
      </c>
      <c r="D153" s="287"/>
      <c r="E153" s="287"/>
      <c r="F153" s="7">
        <f t="shared" si="56"/>
        <v>214.25</v>
      </c>
      <c r="G153" s="7">
        <f>+F153*(1+$L153)</f>
        <v>214.25</v>
      </c>
      <c r="H153" s="7">
        <f t="shared" si="58"/>
        <v>214.25</v>
      </c>
      <c r="I153" s="7">
        <f t="shared" si="58"/>
        <v>214.25</v>
      </c>
      <c r="J153" s="7">
        <f t="shared" si="58"/>
        <v>214.25</v>
      </c>
      <c r="K153" s="7"/>
      <c r="L153" s="368"/>
      <c r="M153" s="368"/>
      <c r="N153" s="270" t="str">
        <f t="shared" si="57"/>
        <v>Tampa Bay</v>
      </c>
      <c r="O153" s="10"/>
      <c r="Q153" s="10"/>
      <c r="S153" s="388">
        <v>0.25</v>
      </c>
      <c r="T153" s="380" t="s">
        <v>2218</v>
      </c>
      <c r="U153" s="385">
        <v>857</v>
      </c>
    </row>
    <row r="154" spans="1:23" x14ac:dyDescent="0.2">
      <c r="D154" s="289"/>
      <c r="E154" s="289"/>
      <c r="F154" s="7"/>
      <c r="L154" s="10"/>
      <c r="M154" s="10"/>
      <c r="N154" s="270"/>
      <c r="O154" s="10"/>
      <c r="Q154" s="10"/>
      <c r="S154" s="387"/>
      <c r="T154" s="375"/>
      <c r="U154" s="385"/>
    </row>
    <row r="155" spans="1:23" x14ac:dyDescent="0.2">
      <c r="A155" s="346" t="str">
        <f>+A121</f>
        <v>Mid-West</v>
      </c>
      <c r="D155" s="289"/>
      <c r="E155" s="289"/>
      <c r="F155" s="7"/>
      <c r="L155" s="10"/>
      <c r="M155" s="10"/>
      <c r="N155" s="379" t="str">
        <f t="shared" si="57"/>
        <v>Mid-West</v>
      </c>
      <c r="O155" s="10"/>
      <c r="Q155" s="10"/>
      <c r="S155" s="387"/>
      <c r="T155" s="375"/>
      <c r="U155" s="385"/>
    </row>
    <row r="156" spans="1:23" x14ac:dyDescent="0.2">
      <c r="A156" s="1" t="str">
        <f>+A122</f>
        <v>Chicago</v>
      </c>
      <c r="D156" s="287"/>
      <c r="E156" s="287"/>
      <c r="F156" s="7">
        <f t="shared" si="56"/>
        <v>540.9</v>
      </c>
      <c r="G156" s="7">
        <f>+F156*(1+$L156)</f>
        <v>540.9</v>
      </c>
      <c r="H156" s="7">
        <f t="shared" ref="H156:J158" si="59">+G156*(1+$L156)</f>
        <v>540.9</v>
      </c>
      <c r="I156" s="7">
        <f t="shared" si="59"/>
        <v>540.9</v>
      </c>
      <c r="J156" s="7">
        <f t="shared" si="59"/>
        <v>540.9</v>
      </c>
      <c r="K156" s="7"/>
      <c r="L156" s="368"/>
      <c r="M156" s="368"/>
      <c r="N156" s="270" t="str">
        <f t="shared" si="57"/>
        <v>Chicago</v>
      </c>
      <c r="O156" s="10"/>
      <c r="Q156" s="10"/>
      <c r="S156" s="388">
        <v>0.9</v>
      </c>
      <c r="T156" s="380" t="s">
        <v>2219</v>
      </c>
      <c r="U156" s="385">
        <v>601</v>
      </c>
      <c r="W156" s="1" t="s">
        <v>2229</v>
      </c>
    </row>
    <row r="157" spans="1:23" x14ac:dyDescent="0.2">
      <c r="A157" s="1" t="str">
        <f>+A123</f>
        <v>Detriot</v>
      </c>
      <c r="D157" s="287"/>
      <c r="E157" s="287"/>
      <c r="F157" s="7">
        <f t="shared" si="56"/>
        <v>193.79999999999998</v>
      </c>
      <c r="G157" s="7">
        <f>+F157*(1+$L157)</f>
        <v>193.79999999999998</v>
      </c>
      <c r="H157" s="7">
        <f t="shared" si="59"/>
        <v>193.79999999999998</v>
      </c>
      <c r="I157" s="7">
        <f t="shared" si="59"/>
        <v>193.79999999999998</v>
      </c>
      <c r="J157" s="7">
        <f t="shared" si="59"/>
        <v>193.79999999999998</v>
      </c>
      <c r="K157" s="7"/>
      <c r="L157" s="368"/>
      <c r="M157" s="368"/>
      <c r="N157" s="270" t="str">
        <f t="shared" si="57"/>
        <v>Detriot</v>
      </c>
      <c r="O157" s="10"/>
      <c r="Q157" s="10"/>
      <c r="S157" s="388">
        <v>0.85</v>
      </c>
      <c r="T157" s="380" t="s">
        <v>2220</v>
      </c>
      <c r="U157" s="385">
        <v>228</v>
      </c>
      <c r="W157" s="1" t="s">
        <v>2231</v>
      </c>
    </row>
    <row r="158" spans="1:23" x14ac:dyDescent="0.2">
      <c r="A158" s="1" t="str">
        <f>+A124</f>
        <v>Minneapolis</v>
      </c>
      <c r="D158" s="287"/>
      <c r="E158" s="287"/>
      <c r="F158" s="7">
        <f t="shared" si="56"/>
        <v>145.35</v>
      </c>
      <c r="G158" s="7">
        <f>+F158*(1+$L158)</f>
        <v>145.35</v>
      </c>
      <c r="H158" s="7">
        <f t="shared" si="59"/>
        <v>145.35</v>
      </c>
      <c r="I158" s="7">
        <f t="shared" si="59"/>
        <v>145.35</v>
      </c>
      <c r="J158" s="7">
        <f t="shared" si="59"/>
        <v>145.35</v>
      </c>
      <c r="K158" s="7"/>
      <c r="L158" s="368"/>
      <c r="M158" s="368"/>
      <c r="N158" s="270" t="str">
        <f t="shared" si="57"/>
        <v>Minneapolis</v>
      </c>
      <c r="O158" s="10"/>
      <c r="Q158" s="10"/>
      <c r="S158" s="388">
        <v>0.95</v>
      </c>
      <c r="T158" s="380" t="s">
        <v>2221</v>
      </c>
      <c r="U158" s="385">
        <v>153</v>
      </c>
    </row>
    <row r="159" spans="1:23" x14ac:dyDescent="0.2">
      <c r="D159" s="289"/>
      <c r="E159" s="289"/>
      <c r="F159" s="7"/>
      <c r="G159" s="7"/>
      <c r="H159" s="7"/>
      <c r="I159" s="7"/>
      <c r="J159" s="7"/>
      <c r="K159" s="7"/>
      <c r="L159" s="368"/>
      <c r="M159" s="368"/>
      <c r="N159" s="270"/>
      <c r="O159" s="10"/>
      <c r="Q159" s="10"/>
      <c r="S159" s="387"/>
      <c r="T159" s="375"/>
      <c r="U159" s="385"/>
    </row>
    <row r="160" spans="1:23" x14ac:dyDescent="0.2">
      <c r="A160" s="346" t="str">
        <f>+A126</f>
        <v>Texas</v>
      </c>
      <c r="D160" s="289"/>
      <c r="E160" s="289"/>
      <c r="F160" s="7"/>
      <c r="L160" s="10"/>
      <c r="M160" s="10"/>
      <c r="N160" s="379" t="str">
        <f t="shared" si="57"/>
        <v>Texas</v>
      </c>
      <c r="O160" s="10"/>
      <c r="Q160" s="10"/>
      <c r="S160" s="387"/>
      <c r="T160" s="380"/>
      <c r="U160" s="385"/>
      <c r="W160" s="1" t="s">
        <v>2230</v>
      </c>
    </row>
    <row r="161" spans="1:23" x14ac:dyDescent="0.2">
      <c r="A161" s="1" t="str">
        <f>+A127</f>
        <v>Dallas</v>
      </c>
      <c r="D161" s="287"/>
      <c r="E161" s="287"/>
      <c r="F161" s="7">
        <f t="shared" si="56"/>
        <v>280</v>
      </c>
      <c r="G161" s="7">
        <f>+F161*(1+$L161)</f>
        <v>280</v>
      </c>
      <c r="H161" s="7">
        <f t="shared" ref="H161:J162" si="60">+G161*(1+$L161)</f>
        <v>280</v>
      </c>
      <c r="I161" s="7">
        <f t="shared" si="60"/>
        <v>280</v>
      </c>
      <c r="J161" s="7">
        <f t="shared" si="60"/>
        <v>280</v>
      </c>
      <c r="K161" s="7"/>
      <c r="L161" s="368"/>
      <c r="M161" s="368"/>
      <c r="N161" s="270" t="str">
        <f t="shared" si="57"/>
        <v>Dallas</v>
      </c>
      <c r="O161" s="10"/>
      <c r="Q161" s="10"/>
      <c r="S161" s="388">
        <v>0.4</v>
      </c>
      <c r="T161" s="380" t="s">
        <v>2222</v>
      </c>
      <c r="U161" s="385">
        <v>700</v>
      </c>
    </row>
    <row r="162" spans="1:23" x14ac:dyDescent="0.2">
      <c r="A162" s="1" t="str">
        <f>+A128</f>
        <v>Houston</v>
      </c>
      <c r="D162" s="287"/>
      <c r="E162" s="287"/>
      <c r="F162" s="7">
        <f t="shared" si="56"/>
        <v>280</v>
      </c>
      <c r="G162" s="7">
        <f>+F162*(1+$L162)</f>
        <v>280</v>
      </c>
      <c r="H162" s="7">
        <f t="shared" si="60"/>
        <v>280</v>
      </c>
      <c r="I162" s="7">
        <f t="shared" si="60"/>
        <v>280</v>
      </c>
      <c r="J162" s="7">
        <f t="shared" si="60"/>
        <v>280</v>
      </c>
      <c r="K162" s="7"/>
      <c r="L162" s="368"/>
      <c r="M162" s="368"/>
      <c r="N162" s="270" t="str">
        <f t="shared" si="57"/>
        <v>Houston</v>
      </c>
      <c r="O162" s="10"/>
      <c r="Q162" s="10"/>
      <c r="S162" s="388">
        <v>0.4</v>
      </c>
      <c r="T162" s="380" t="s">
        <v>2222</v>
      </c>
      <c r="U162" s="385">
        <v>700</v>
      </c>
    </row>
    <row r="163" spans="1:23" x14ac:dyDescent="0.2">
      <c r="D163" s="289"/>
      <c r="E163" s="289"/>
      <c r="F163" s="7"/>
      <c r="L163" s="10"/>
      <c r="M163" s="10"/>
      <c r="N163" s="270"/>
      <c r="O163" s="10"/>
      <c r="Q163" s="10"/>
      <c r="S163" s="375"/>
      <c r="T163" s="375"/>
      <c r="U163" s="385"/>
    </row>
    <row r="164" spans="1:23" x14ac:dyDescent="0.2">
      <c r="A164" s="346" t="str">
        <f>+A130</f>
        <v>West Region</v>
      </c>
      <c r="D164" s="289"/>
      <c r="E164" s="289"/>
      <c r="F164" s="7"/>
      <c r="L164" s="10"/>
      <c r="M164" s="10"/>
      <c r="N164" s="379" t="str">
        <f t="shared" si="57"/>
        <v>West Region</v>
      </c>
      <c r="O164" s="10"/>
      <c r="Q164" s="10"/>
      <c r="T164" s="375"/>
      <c r="U164" s="385"/>
    </row>
    <row r="165" spans="1:23" x14ac:dyDescent="0.2">
      <c r="A165" s="1" t="str">
        <f>+A131</f>
        <v>Denver</v>
      </c>
      <c r="D165" s="289"/>
      <c r="E165" s="287"/>
      <c r="F165" s="7">
        <f t="shared" si="56"/>
        <v>212.75</v>
      </c>
      <c r="G165" s="7">
        <f>+F165*(1+$L165)</f>
        <v>212.75</v>
      </c>
      <c r="H165" s="7">
        <f t="shared" ref="H165:J168" si="61">+G165*(1+$L165)</f>
        <v>212.75</v>
      </c>
      <c r="I165" s="7">
        <f t="shared" si="61"/>
        <v>212.75</v>
      </c>
      <c r="J165" s="7">
        <f t="shared" si="61"/>
        <v>212.75</v>
      </c>
      <c r="K165" s="7"/>
      <c r="L165" s="368"/>
      <c r="M165" s="10"/>
      <c r="N165" s="270" t="str">
        <f t="shared" si="57"/>
        <v>Denver</v>
      </c>
      <c r="O165" s="10"/>
      <c r="P165" s="13">
        <v>0.75</v>
      </c>
      <c r="Q165" s="10">
        <v>113</v>
      </c>
      <c r="S165" s="382">
        <v>0.8</v>
      </c>
      <c r="T165" s="380" t="s">
        <v>2246</v>
      </c>
      <c r="U165" s="385">
        <v>160</v>
      </c>
    </row>
    <row r="166" spans="1:23" x14ac:dyDescent="0.2">
      <c r="A166" s="1" t="str">
        <f>+A132</f>
        <v>Los Angeles</v>
      </c>
      <c r="D166" s="287"/>
      <c r="E166" s="287"/>
      <c r="F166" s="7">
        <f t="shared" si="56"/>
        <v>253.20000000000002</v>
      </c>
      <c r="G166" s="7">
        <f>+F166*(1+$L166)</f>
        <v>253.20000000000002</v>
      </c>
      <c r="H166" s="7">
        <f t="shared" si="61"/>
        <v>253.20000000000002</v>
      </c>
      <c r="I166" s="7">
        <f t="shared" si="61"/>
        <v>253.20000000000002</v>
      </c>
      <c r="J166" s="7">
        <f t="shared" si="61"/>
        <v>253.20000000000002</v>
      </c>
      <c r="K166" s="7"/>
      <c r="L166" s="368"/>
      <c r="M166" s="368"/>
      <c r="N166" s="270" t="str">
        <f t="shared" si="57"/>
        <v>Los Angeles</v>
      </c>
      <c r="O166" s="10"/>
      <c r="Q166" s="10"/>
      <c r="S166" s="382">
        <v>0.4</v>
      </c>
      <c r="T166" s="380" t="s">
        <v>2223</v>
      </c>
      <c r="U166" s="385">
        <v>633</v>
      </c>
      <c r="W166" s="1" t="s">
        <v>2227</v>
      </c>
    </row>
    <row r="167" spans="1:23" x14ac:dyDescent="0.2">
      <c r="A167" s="1" t="str">
        <f>+A133</f>
        <v>San Francisco</v>
      </c>
      <c r="D167" s="287"/>
      <c r="E167" s="287"/>
      <c r="F167" s="7">
        <f t="shared" si="56"/>
        <v>417.85</v>
      </c>
      <c r="G167" s="7">
        <f>+F167*(1+$L167)</f>
        <v>417.85</v>
      </c>
      <c r="H167" s="7">
        <f t="shared" si="61"/>
        <v>417.85</v>
      </c>
      <c r="I167" s="7">
        <f t="shared" si="61"/>
        <v>417.85</v>
      </c>
      <c r="J167" s="7">
        <f t="shared" si="61"/>
        <v>417.85</v>
      </c>
      <c r="K167" s="7"/>
      <c r="L167" s="368"/>
      <c r="M167" s="368"/>
      <c r="N167" s="270" t="str">
        <f t="shared" si="57"/>
        <v>San Francisco</v>
      </c>
      <c r="O167" s="10"/>
      <c r="P167" s="13">
        <v>0.5</v>
      </c>
      <c r="Q167" s="10">
        <v>266</v>
      </c>
      <c r="S167" s="382">
        <v>0.45</v>
      </c>
      <c r="T167" s="380" t="s">
        <v>2223</v>
      </c>
      <c r="U167" s="385">
        <v>633</v>
      </c>
    </row>
    <row r="168" spans="1:23" x14ac:dyDescent="0.2">
      <c r="A168" s="1" t="str">
        <f>+A134</f>
        <v>Phoenix / Scottsdale</v>
      </c>
      <c r="D168" s="287"/>
      <c r="E168" s="287"/>
      <c r="F168" s="7">
        <f t="shared" si="56"/>
        <v>257.5</v>
      </c>
      <c r="G168" s="7">
        <f>+F168*(1+$L168)</f>
        <v>257.5</v>
      </c>
      <c r="H168" s="7">
        <f t="shared" si="61"/>
        <v>257.5</v>
      </c>
      <c r="I168" s="7">
        <f t="shared" si="61"/>
        <v>257.5</v>
      </c>
      <c r="J168" s="7">
        <f t="shared" si="61"/>
        <v>257.5</v>
      </c>
      <c r="K168" s="7"/>
      <c r="L168" s="368"/>
      <c r="M168" s="368"/>
      <c r="N168" s="270" t="str">
        <f t="shared" si="57"/>
        <v>Phoenix / Scottsdale</v>
      </c>
      <c r="O168" s="10"/>
      <c r="P168" s="13">
        <v>0.5</v>
      </c>
      <c r="Q168" s="10">
        <v>115</v>
      </c>
      <c r="S168" s="382">
        <v>0.8</v>
      </c>
      <c r="T168" s="380" t="s">
        <v>2224</v>
      </c>
      <c r="U168" s="385">
        <v>250</v>
      </c>
      <c r="W168" s="1" t="s">
        <v>2228</v>
      </c>
    </row>
    <row r="169" spans="1:23" x14ac:dyDescent="0.2">
      <c r="D169" s="289"/>
      <c r="E169" s="289"/>
      <c r="F169" s="7"/>
      <c r="L169" s="10"/>
      <c r="M169" s="10"/>
      <c r="N169" s="270"/>
      <c r="O169" s="10"/>
      <c r="Q169" s="10"/>
      <c r="S169" s="375"/>
      <c r="T169" s="375"/>
      <c r="U169" s="385"/>
    </row>
    <row r="170" spans="1:23" x14ac:dyDescent="0.2">
      <c r="A170" s="346" t="str">
        <f>+A136</f>
        <v>Pacific Northwest</v>
      </c>
      <c r="D170" s="289"/>
      <c r="E170" s="289"/>
      <c r="F170" s="7">
        <f t="shared" si="56"/>
        <v>0</v>
      </c>
      <c r="L170" s="10"/>
      <c r="M170" s="10"/>
      <c r="N170" s="379" t="str">
        <f t="shared" si="57"/>
        <v>Pacific Northwest</v>
      </c>
      <c r="O170" s="10"/>
      <c r="Q170" s="10"/>
      <c r="S170" s="375"/>
      <c r="T170" s="375"/>
      <c r="U170" s="385"/>
    </row>
    <row r="171" spans="1:23" x14ac:dyDescent="0.2">
      <c r="A171" s="1" t="str">
        <f>+A137</f>
        <v>Portland</v>
      </c>
      <c r="D171" s="287"/>
      <c r="E171" s="287"/>
      <c r="F171" s="7">
        <f t="shared" si="56"/>
        <v>123.95</v>
      </c>
      <c r="G171" s="7">
        <f>+F171*(1+$L171)</f>
        <v>123.95</v>
      </c>
      <c r="H171" s="7">
        <f t="shared" ref="H171:J172" si="62">+G171*(1+$L171)</f>
        <v>123.95</v>
      </c>
      <c r="I171" s="7">
        <f t="shared" si="62"/>
        <v>123.95</v>
      </c>
      <c r="J171" s="7">
        <f t="shared" si="62"/>
        <v>123.95</v>
      </c>
      <c r="K171" s="7"/>
      <c r="L171" s="368"/>
      <c r="M171" s="368"/>
      <c r="N171" s="270" t="str">
        <f t="shared" si="57"/>
        <v>Portland</v>
      </c>
      <c r="O171" s="10"/>
      <c r="P171" s="13">
        <v>0.5</v>
      </c>
      <c r="Q171" s="10">
        <v>113</v>
      </c>
      <c r="S171" s="382">
        <v>0.95</v>
      </c>
      <c r="T171" s="380" t="s">
        <v>2225</v>
      </c>
      <c r="U171" s="385">
        <v>71</v>
      </c>
      <c r="W171" s="1" t="s">
        <v>2229</v>
      </c>
    </row>
    <row r="172" spans="1:23" x14ac:dyDescent="0.2">
      <c r="A172" s="1" t="str">
        <f>+A138</f>
        <v>Seattle</v>
      </c>
      <c r="D172" s="287"/>
      <c r="E172" s="287"/>
      <c r="F172" s="7">
        <f t="shared" si="56"/>
        <v>223</v>
      </c>
      <c r="G172" s="7">
        <f>+F172*(1+$L172)</f>
        <v>223</v>
      </c>
      <c r="H172" s="7">
        <f t="shared" si="62"/>
        <v>223</v>
      </c>
      <c r="I172" s="7">
        <f t="shared" si="62"/>
        <v>223</v>
      </c>
      <c r="J172" s="7">
        <f t="shared" si="62"/>
        <v>223</v>
      </c>
      <c r="K172" s="7"/>
      <c r="L172" s="368"/>
      <c r="M172" s="368"/>
      <c r="N172" s="374" t="str">
        <f t="shared" si="57"/>
        <v>Seattle</v>
      </c>
      <c r="O172" s="6"/>
      <c r="P172" s="396">
        <v>0.5</v>
      </c>
      <c r="Q172" s="6">
        <v>199</v>
      </c>
      <c r="R172" s="6"/>
      <c r="S172" s="384">
        <v>0.95</v>
      </c>
      <c r="T172" s="381" t="s">
        <v>2226</v>
      </c>
      <c r="U172" s="386">
        <v>130</v>
      </c>
      <c r="W172" s="1" t="s">
        <v>2229</v>
      </c>
    </row>
    <row r="173" spans="1:23" x14ac:dyDescent="0.2">
      <c r="Q173" s="7">
        <f>+SUMPRODUCT(Q144:Q172,P144:P172)</f>
        <v>520.5</v>
      </c>
      <c r="U173" s="7">
        <f>+SUMPRODUCT(U144:U172,S144:S172)</f>
        <v>4164.2</v>
      </c>
    </row>
    <row r="174" spans="1:23" x14ac:dyDescent="0.2">
      <c r="Q174" s="341">
        <f>+Q173/SUM(Q173,U173)</f>
        <v>0.11110636753687536</v>
      </c>
      <c r="U174" s="341">
        <f>+U173/SUM(U173,Q173)</f>
        <v>0.88889363246312458</v>
      </c>
    </row>
    <row r="175" spans="1:23" x14ac:dyDescent="0.2">
      <c r="A175" s="12" t="s">
        <v>2241</v>
      </c>
      <c r="N175" s="12" t="s">
        <v>2256</v>
      </c>
    </row>
    <row r="176" spans="1:23" x14ac:dyDescent="0.2">
      <c r="P176" s="285">
        <v>2014</v>
      </c>
      <c r="Q176" s="285">
        <f t="shared" ref="Q176" si="63">+P176+1</f>
        <v>2015</v>
      </c>
      <c r="R176" s="285">
        <f t="shared" ref="R176" si="64">+Q176+1</f>
        <v>2016</v>
      </c>
      <c r="S176" s="285">
        <f t="shared" ref="S176" si="65">+R176+1</f>
        <v>2017</v>
      </c>
      <c r="T176" s="285">
        <f t="shared" ref="T176" si="66">+S176+1</f>
        <v>2018</v>
      </c>
      <c r="V176" s="1" t="s">
        <v>2210</v>
      </c>
    </row>
    <row r="177" spans="1:20" x14ac:dyDescent="0.2">
      <c r="A177" s="346" t="str">
        <f>+A144</f>
        <v>Northeast</v>
      </c>
      <c r="N177" s="378" t="str">
        <f>+A177</f>
        <v>Northeast</v>
      </c>
      <c r="O177" s="266"/>
      <c r="P177" s="266"/>
      <c r="Q177" s="266"/>
      <c r="R177" s="266"/>
      <c r="S177" s="266"/>
      <c r="T177" s="373"/>
    </row>
    <row r="178" spans="1:20" x14ac:dyDescent="0.2">
      <c r="A178" s="1" t="str">
        <f>+A145</f>
        <v>Boston</v>
      </c>
      <c r="F178" s="7">
        <f t="shared" ref="F178:J181" si="67">+F111/F145</f>
        <v>0</v>
      </c>
      <c r="G178" s="7">
        <f t="shared" si="67"/>
        <v>3385.0350823498516</v>
      </c>
      <c r="H178" s="7">
        <f t="shared" si="67"/>
        <v>12597.9722314787</v>
      </c>
      <c r="I178" s="7">
        <f t="shared" si="67"/>
        <v>22086.53586218788</v>
      </c>
      <c r="J178" s="7">
        <f t="shared" si="67"/>
        <v>22417.833900120695</v>
      </c>
      <c r="N178" s="270" t="str">
        <f t="shared" ref="N178:N181" si="68">+A178</f>
        <v>Boston</v>
      </c>
      <c r="O178" s="10"/>
      <c r="P178" s="375">
        <f>+F178/365</f>
        <v>0</v>
      </c>
      <c r="Q178" s="375">
        <f t="shared" ref="Q178:Q181" si="69">+G178/365</f>
        <v>9.274068718766717</v>
      </c>
      <c r="R178" s="375">
        <f t="shared" ref="R178:R181" si="70">+H178/365</f>
        <v>34.514992415010134</v>
      </c>
      <c r="S178" s="375">
        <f t="shared" ref="S178:S181" si="71">+I178/365</f>
        <v>60.511057156679122</v>
      </c>
      <c r="T178" s="376">
        <f t="shared" ref="T178:T181" si="72">+J178/365</f>
        <v>61.418723014029304</v>
      </c>
    </row>
    <row r="179" spans="1:20" x14ac:dyDescent="0.2">
      <c r="A179" s="1" t="str">
        <f>+A146</f>
        <v>D.C. Metro Area</v>
      </c>
      <c r="F179" s="7">
        <f t="shared" si="67"/>
        <v>0</v>
      </c>
      <c r="G179" s="7">
        <f t="shared" si="67"/>
        <v>2396.2589544463958</v>
      </c>
      <c r="H179" s="7">
        <f t="shared" si="67"/>
        <v>8918.0770754646692</v>
      </c>
      <c r="I179" s="7">
        <f t="shared" si="67"/>
        <v>15635.010581848737</v>
      </c>
      <c r="J179" s="7">
        <f t="shared" si="67"/>
        <v>15869.535740576464</v>
      </c>
      <c r="N179" s="270" t="str">
        <f t="shared" ref="N179" si="73">+A179</f>
        <v>D.C. Metro Area</v>
      </c>
      <c r="O179" s="10"/>
      <c r="P179" s="375">
        <f>+F179/365</f>
        <v>0</v>
      </c>
      <c r="Q179" s="375">
        <f t="shared" ref="Q179" si="74">+G179/365</f>
        <v>6.5650930258805369</v>
      </c>
      <c r="R179" s="375">
        <f t="shared" ref="R179" si="75">+H179/365</f>
        <v>24.433087877985393</v>
      </c>
      <c r="S179" s="375">
        <f t="shared" ref="S179" si="76">+I179/365</f>
        <v>42.835645429722568</v>
      </c>
      <c r="T179" s="376">
        <f t="shared" ref="T179" si="77">+J179/365</f>
        <v>43.478180111168399</v>
      </c>
    </row>
    <row r="180" spans="1:20" x14ac:dyDescent="0.2">
      <c r="A180" s="1" t="str">
        <f>+A147</f>
        <v>NY / NJ Metro Area</v>
      </c>
      <c r="F180" s="7">
        <f t="shared" si="67"/>
        <v>3143.6601286389082</v>
      </c>
      <c r="G180" s="7">
        <f t="shared" si="67"/>
        <v>11699.655112084471</v>
      </c>
      <c r="H180" s="7">
        <f t="shared" si="67"/>
        <v>20511.622621504459</v>
      </c>
      <c r="I180" s="7">
        <f t="shared" si="67"/>
        <v>20819.296960827021</v>
      </c>
      <c r="J180" s="7">
        <f t="shared" si="67"/>
        <v>21131.586415239424</v>
      </c>
      <c r="N180" s="270" t="str">
        <f t="shared" si="68"/>
        <v>NY / NJ Metro Area</v>
      </c>
      <c r="O180" s="10"/>
      <c r="P180" s="375">
        <f t="shared" ref="P180:P181" si="78">+F180/365</f>
        <v>8.6127674757230359</v>
      </c>
      <c r="Q180" s="375">
        <f t="shared" si="69"/>
        <v>32.053849622149237</v>
      </c>
      <c r="R180" s="375">
        <f t="shared" si="70"/>
        <v>56.19622636028619</v>
      </c>
      <c r="S180" s="375">
        <f t="shared" si="71"/>
        <v>57.039169755690473</v>
      </c>
      <c r="T180" s="376">
        <f t="shared" si="72"/>
        <v>57.894757302025823</v>
      </c>
    </row>
    <row r="181" spans="1:20" x14ac:dyDescent="0.2">
      <c r="A181" s="1" t="str">
        <f>+A148</f>
        <v>Philadelphia</v>
      </c>
      <c r="F181" s="7">
        <f t="shared" si="67"/>
        <v>0</v>
      </c>
      <c r="G181" s="7">
        <f t="shared" si="67"/>
        <v>4531.7749160786279</v>
      </c>
      <c r="H181" s="7">
        <f t="shared" si="67"/>
        <v>16865.75564600596</v>
      </c>
      <c r="I181" s="7">
        <f t="shared" si="67"/>
        <v>29568.736148474989</v>
      </c>
      <c r="J181" s="7">
        <f t="shared" si="67"/>
        <v>30012.26719070211</v>
      </c>
      <c r="N181" s="270" t="str">
        <f t="shared" si="68"/>
        <v>Philadelphia</v>
      </c>
      <c r="O181" s="10"/>
      <c r="P181" s="375">
        <f t="shared" si="78"/>
        <v>0</v>
      </c>
      <c r="Q181" s="375">
        <f t="shared" si="69"/>
        <v>12.415821687886652</v>
      </c>
      <c r="R181" s="375">
        <f t="shared" si="70"/>
        <v>46.207549715084824</v>
      </c>
      <c r="S181" s="375">
        <f t="shared" si="71"/>
        <v>81.01023602321915</v>
      </c>
      <c r="T181" s="376">
        <f t="shared" si="72"/>
        <v>82.225389563567433</v>
      </c>
    </row>
    <row r="182" spans="1:20" x14ac:dyDescent="0.2">
      <c r="F182" s="7"/>
      <c r="G182" s="7"/>
      <c r="H182" s="7"/>
      <c r="I182" s="7"/>
      <c r="J182" s="7"/>
      <c r="N182" s="270"/>
      <c r="O182" s="10"/>
      <c r="P182" s="375"/>
      <c r="Q182" s="375"/>
      <c r="R182" s="375"/>
      <c r="S182" s="375"/>
      <c r="T182" s="376"/>
    </row>
    <row r="183" spans="1:20" x14ac:dyDescent="0.2">
      <c r="A183" s="346" t="str">
        <f>+A150</f>
        <v>Florida</v>
      </c>
      <c r="F183" s="7"/>
      <c r="G183" s="7"/>
      <c r="H183" s="7"/>
      <c r="I183" s="7"/>
      <c r="J183" s="7"/>
      <c r="N183" s="379" t="str">
        <f t="shared" ref="N183:N186" si="79">+A183</f>
        <v>Florida</v>
      </c>
      <c r="O183" s="10"/>
      <c r="P183" s="375"/>
      <c r="Q183" s="375"/>
      <c r="R183" s="375"/>
      <c r="S183" s="375"/>
      <c r="T183" s="376"/>
    </row>
    <row r="184" spans="1:20" x14ac:dyDescent="0.2">
      <c r="A184" s="1" t="str">
        <f>+A151</f>
        <v>Miami / Fort Lauderdale</v>
      </c>
      <c r="F184" s="7">
        <f t="shared" ref="F184:J186" si="80">+F117/F151</f>
        <v>0</v>
      </c>
      <c r="G184" s="7">
        <f t="shared" si="80"/>
        <v>2636.7919551392388</v>
      </c>
      <c r="H184" s="7">
        <f t="shared" si="80"/>
        <v>9813.2607263765312</v>
      </c>
      <c r="I184" s="7">
        <f t="shared" si="80"/>
        <v>17204.430282561036</v>
      </c>
      <c r="J184" s="7">
        <f t="shared" si="80"/>
        <v>17462.49673679945</v>
      </c>
      <c r="N184" s="270" t="str">
        <f t="shared" si="79"/>
        <v>Miami / Fort Lauderdale</v>
      </c>
      <c r="O184" s="10"/>
      <c r="P184" s="375">
        <f t="shared" ref="P184:P186" si="81">+F184/365</f>
        <v>0</v>
      </c>
      <c r="Q184" s="375">
        <f t="shared" ref="Q184:Q186" si="82">+G184/365</f>
        <v>7.2240875483266818</v>
      </c>
      <c r="R184" s="375">
        <f t="shared" ref="R184:R186" si="83">+H184/365</f>
        <v>26.885645825689128</v>
      </c>
      <c r="S184" s="375">
        <f t="shared" ref="S184:S186" si="84">+I184/365</f>
        <v>47.135425431674072</v>
      </c>
      <c r="T184" s="376">
        <f t="shared" ref="T184:T186" si="85">+J184/365</f>
        <v>47.842456813149177</v>
      </c>
    </row>
    <row r="185" spans="1:20" x14ac:dyDescent="0.2">
      <c r="A185" s="1" t="str">
        <f>+A152</f>
        <v>Orlando</v>
      </c>
      <c r="F185" s="7">
        <f t="shared" si="80"/>
        <v>0</v>
      </c>
      <c r="G185" s="7">
        <f t="shared" si="80"/>
        <v>1017.4654965795286</v>
      </c>
      <c r="H185" s="7">
        <f t="shared" si="80"/>
        <v>3786.6674231034785</v>
      </c>
      <c r="I185" s="7">
        <f t="shared" si="80"/>
        <v>6638.7164776864165</v>
      </c>
      <c r="J185" s="7">
        <f t="shared" si="80"/>
        <v>6738.2972248517108</v>
      </c>
      <c r="N185" s="270" t="str">
        <f t="shared" si="79"/>
        <v>Orlando</v>
      </c>
      <c r="O185" s="10"/>
      <c r="P185" s="375">
        <f t="shared" si="81"/>
        <v>0</v>
      </c>
      <c r="Q185" s="375">
        <f t="shared" si="82"/>
        <v>2.7875767029576126</v>
      </c>
      <c r="R185" s="375">
        <f t="shared" si="83"/>
        <v>10.374431296173913</v>
      </c>
      <c r="S185" s="375">
        <f t="shared" si="84"/>
        <v>18.188264322428537</v>
      </c>
      <c r="T185" s="376">
        <f t="shared" si="85"/>
        <v>18.46108828726496</v>
      </c>
    </row>
    <row r="186" spans="1:20" x14ac:dyDescent="0.2">
      <c r="A186" s="1" t="str">
        <f>+A153</f>
        <v>Tampa Bay</v>
      </c>
      <c r="F186" s="7">
        <f t="shared" si="80"/>
        <v>0</v>
      </c>
      <c r="G186" s="7">
        <f t="shared" si="80"/>
        <v>1300.7888188578979</v>
      </c>
      <c r="H186" s="7">
        <f t="shared" si="80"/>
        <v>4841.1023875161427</v>
      </c>
      <c r="I186" s="7">
        <f t="shared" si="80"/>
        <v>8487.3326857498923</v>
      </c>
      <c r="J186" s="7">
        <f t="shared" si="80"/>
        <v>8614.6426760361392</v>
      </c>
      <c r="N186" s="270" t="str">
        <f t="shared" si="79"/>
        <v>Tampa Bay</v>
      </c>
      <c r="O186" s="10"/>
      <c r="P186" s="375">
        <f t="shared" si="81"/>
        <v>0</v>
      </c>
      <c r="Q186" s="375">
        <f t="shared" si="82"/>
        <v>3.5638049831723229</v>
      </c>
      <c r="R186" s="375">
        <f t="shared" si="83"/>
        <v>13.263294212372994</v>
      </c>
      <c r="S186" s="375">
        <f t="shared" si="84"/>
        <v>23.252966262328471</v>
      </c>
      <c r="T186" s="376">
        <f t="shared" si="85"/>
        <v>23.601760756263396</v>
      </c>
    </row>
    <row r="187" spans="1:20" x14ac:dyDescent="0.2">
      <c r="F187" s="7"/>
      <c r="G187" s="7"/>
      <c r="H187" s="7"/>
      <c r="I187" s="7"/>
      <c r="J187" s="7"/>
      <c r="N187" s="270"/>
      <c r="O187" s="10"/>
      <c r="P187" s="375"/>
      <c r="Q187" s="375"/>
      <c r="R187" s="375"/>
      <c r="S187" s="375"/>
      <c r="T187" s="376"/>
    </row>
    <row r="188" spans="1:20" x14ac:dyDescent="0.2">
      <c r="A188" s="346" t="str">
        <f>+A155</f>
        <v>Mid-West</v>
      </c>
      <c r="F188" s="7"/>
      <c r="G188" s="7"/>
      <c r="H188" s="7"/>
      <c r="I188" s="7"/>
      <c r="J188" s="7"/>
      <c r="N188" s="379" t="str">
        <f t="shared" ref="N188:N191" si="86">+A188</f>
        <v>Mid-West</v>
      </c>
      <c r="O188" s="10"/>
      <c r="P188" s="375"/>
      <c r="Q188" s="375"/>
      <c r="R188" s="375"/>
      <c r="S188" s="375"/>
      <c r="T188" s="376"/>
    </row>
    <row r="189" spans="1:20" x14ac:dyDescent="0.2">
      <c r="A189" s="1" t="str">
        <f>+A156</f>
        <v>Chicago</v>
      </c>
      <c r="F189" s="7">
        <f t="shared" ref="F189:J191" si="87">+F122/F156</f>
        <v>0</v>
      </c>
      <c r="G189" s="7">
        <f t="shared" si="87"/>
        <v>1725.8394535435293</v>
      </c>
      <c r="H189" s="7">
        <f t="shared" si="87"/>
        <v>6422.9991662711691</v>
      </c>
      <c r="I189" s="7">
        <f t="shared" si="87"/>
        <v>11260.685356503589</v>
      </c>
      <c r="J189" s="7">
        <f t="shared" si="87"/>
        <v>11429.595636851142</v>
      </c>
      <c r="N189" s="270" t="str">
        <f t="shared" si="86"/>
        <v>Chicago</v>
      </c>
      <c r="O189" s="10"/>
      <c r="P189" s="375">
        <f t="shared" ref="P189:P191" si="88">+F189/365</f>
        <v>0</v>
      </c>
      <c r="Q189" s="375">
        <f t="shared" ref="Q189:Q191" si="89">+G189/365</f>
        <v>4.7283272699822723</v>
      </c>
      <c r="R189" s="375">
        <f t="shared" ref="R189:R191" si="90">+H189/365</f>
        <v>17.597257989784026</v>
      </c>
      <c r="S189" s="375">
        <f t="shared" ref="S189:S191" si="91">+I189/365</f>
        <v>30.85119275754408</v>
      </c>
      <c r="T189" s="376">
        <f t="shared" ref="T189:T191" si="92">+J189/365</f>
        <v>31.313960648907237</v>
      </c>
    </row>
    <row r="190" spans="1:20" x14ac:dyDescent="0.2">
      <c r="A190" s="1" t="str">
        <f>+A157</f>
        <v>Detriot</v>
      </c>
      <c r="F190" s="7">
        <f t="shared" si="87"/>
        <v>0</v>
      </c>
      <c r="G190" s="7">
        <f t="shared" si="87"/>
        <v>2171.1079364369675</v>
      </c>
      <c r="H190" s="7">
        <f t="shared" si="87"/>
        <v>8080.1400367729148</v>
      </c>
      <c r="I190" s="7">
        <f t="shared" si="87"/>
        <v>14165.954600833238</v>
      </c>
      <c r="J190" s="7">
        <f t="shared" si="87"/>
        <v>14378.443919845735</v>
      </c>
      <c r="N190" s="270" t="str">
        <f t="shared" si="86"/>
        <v>Detriot</v>
      </c>
      <c r="O190" s="10"/>
      <c r="P190" s="375">
        <f t="shared" si="88"/>
        <v>0</v>
      </c>
      <c r="Q190" s="375">
        <f t="shared" si="89"/>
        <v>5.9482409217451169</v>
      </c>
      <c r="R190" s="375">
        <f t="shared" si="90"/>
        <v>22.137369963761412</v>
      </c>
      <c r="S190" s="375">
        <f t="shared" si="91"/>
        <v>38.810834522830788</v>
      </c>
      <c r="T190" s="376">
        <f t="shared" si="92"/>
        <v>39.392997040673244</v>
      </c>
    </row>
    <row r="191" spans="1:20" x14ac:dyDescent="0.2">
      <c r="A191" s="1" t="str">
        <f>+A158</f>
        <v>Minneapolis</v>
      </c>
      <c r="F191" s="7">
        <f t="shared" si="87"/>
        <v>0</v>
      </c>
      <c r="G191" s="7">
        <f t="shared" si="87"/>
        <v>2308.1704452663821</v>
      </c>
      <c r="H191" s="7">
        <f t="shared" si="87"/>
        <v>8590.2410071330523</v>
      </c>
      <c r="I191" s="7">
        <f t="shared" si="87"/>
        <v>15060.254347505535</v>
      </c>
      <c r="J191" s="7">
        <f t="shared" si="87"/>
        <v>15286.158162718117</v>
      </c>
      <c r="N191" s="270" t="str">
        <f t="shared" si="86"/>
        <v>Minneapolis</v>
      </c>
      <c r="O191" s="10"/>
      <c r="P191" s="375">
        <f t="shared" si="88"/>
        <v>0</v>
      </c>
      <c r="Q191" s="375">
        <f t="shared" si="89"/>
        <v>6.3237546445654305</v>
      </c>
      <c r="R191" s="375">
        <f t="shared" si="90"/>
        <v>23.534906868857679</v>
      </c>
      <c r="S191" s="375">
        <f t="shared" si="91"/>
        <v>41.26097081508366</v>
      </c>
      <c r="T191" s="376">
        <f t="shared" si="92"/>
        <v>41.879885377309911</v>
      </c>
    </row>
    <row r="192" spans="1:20" x14ac:dyDescent="0.2">
      <c r="F192" s="7"/>
      <c r="G192" s="7"/>
      <c r="H192" s="7"/>
      <c r="I192" s="7"/>
      <c r="J192" s="7"/>
      <c r="N192" s="270"/>
      <c r="O192" s="10"/>
      <c r="P192" s="375"/>
      <c r="Q192" s="375"/>
      <c r="R192" s="375"/>
      <c r="S192" s="375"/>
      <c r="T192" s="376"/>
    </row>
    <row r="193" spans="1:20" x14ac:dyDescent="0.2">
      <c r="A193" s="346" t="str">
        <f>+A160</f>
        <v>Texas</v>
      </c>
      <c r="F193" s="7"/>
      <c r="G193" s="7"/>
      <c r="H193" s="7"/>
      <c r="I193" s="7"/>
      <c r="J193" s="7"/>
      <c r="N193" s="379" t="str">
        <f t="shared" ref="N193:N195" si="93">+A193</f>
        <v>Texas</v>
      </c>
      <c r="O193" s="10"/>
      <c r="P193" s="375"/>
      <c r="Q193" s="375"/>
      <c r="R193" s="375"/>
      <c r="S193" s="375"/>
      <c r="T193" s="376"/>
    </row>
    <row r="194" spans="1:20" x14ac:dyDescent="0.2">
      <c r="A194" s="1" t="str">
        <f>+A161</f>
        <v>Dallas</v>
      </c>
      <c r="F194" s="7">
        <f t="shared" ref="F194:J195" si="94">+F127/F161</f>
        <v>0</v>
      </c>
      <c r="G194" s="7">
        <f t="shared" si="94"/>
        <v>2346.1209976907217</v>
      </c>
      <c r="H194" s="7">
        <f t="shared" si="94"/>
        <v>8731.4803130723012</v>
      </c>
      <c r="I194" s="7">
        <f t="shared" si="94"/>
        <v>15307.872530690847</v>
      </c>
      <c r="J194" s="7">
        <f t="shared" si="94"/>
        <v>15537.490618651207</v>
      </c>
      <c r="N194" s="270" t="str">
        <f t="shared" si="93"/>
        <v>Dallas</v>
      </c>
      <c r="O194" s="10"/>
      <c r="P194" s="375">
        <f t="shared" ref="P194:P195" si="95">+F194/365</f>
        <v>0</v>
      </c>
      <c r="Q194" s="375">
        <f t="shared" ref="Q194:Q195" si="96">+G194/365</f>
        <v>6.4277287607964979</v>
      </c>
      <c r="R194" s="375">
        <f t="shared" ref="R194:R195" si="97">+H194/365</f>
        <v>23.921863871430961</v>
      </c>
      <c r="S194" s="375">
        <f t="shared" ref="S194:S195" si="98">+I194/365</f>
        <v>41.939376796413278</v>
      </c>
      <c r="T194" s="376">
        <f t="shared" ref="T194:T195" si="99">+J194/365</f>
        <v>42.56846744835947</v>
      </c>
    </row>
    <row r="195" spans="1:20" x14ac:dyDescent="0.2">
      <c r="A195" s="1" t="str">
        <f>+A162</f>
        <v>Houston</v>
      </c>
      <c r="F195" s="7">
        <f t="shared" si="94"/>
        <v>0</v>
      </c>
      <c r="G195" s="7">
        <f t="shared" si="94"/>
        <v>2162.6758664458002</v>
      </c>
      <c r="H195" s="7">
        <f t="shared" si="94"/>
        <v>8048.7586829557868</v>
      </c>
      <c r="I195" s="7">
        <f t="shared" si="94"/>
        <v>14110.937381891121</v>
      </c>
      <c r="J195" s="7">
        <f t="shared" si="94"/>
        <v>14322.601442619487</v>
      </c>
      <c r="N195" s="270" t="str">
        <f t="shared" si="93"/>
        <v>Houston</v>
      </c>
      <c r="O195" s="10"/>
      <c r="P195" s="375">
        <f t="shared" si="95"/>
        <v>0</v>
      </c>
      <c r="Q195" s="375">
        <f t="shared" si="96"/>
        <v>5.9251393601254803</v>
      </c>
      <c r="R195" s="375">
        <f t="shared" si="97"/>
        <v>22.051393651933662</v>
      </c>
      <c r="S195" s="375">
        <f t="shared" si="98"/>
        <v>38.660102416140056</v>
      </c>
      <c r="T195" s="376">
        <f t="shared" si="99"/>
        <v>39.240003952382153</v>
      </c>
    </row>
    <row r="196" spans="1:20" x14ac:dyDescent="0.2">
      <c r="F196" s="7"/>
      <c r="G196" s="7"/>
      <c r="H196" s="7"/>
      <c r="I196" s="7"/>
      <c r="J196" s="7"/>
      <c r="N196" s="270"/>
      <c r="O196" s="10"/>
      <c r="P196" s="375"/>
      <c r="Q196" s="375"/>
      <c r="R196" s="375"/>
      <c r="S196" s="375"/>
      <c r="T196" s="376"/>
    </row>
    <row r="197" spans="1:20" x14ac:dyDescent="0.2">
      <c r="A197" s="346" t="str">
        <f>+A164</f>
        <v>West Region</v>
      </c>
      <c r="F197" s="7"/>
      <c r="G197" s="7"/>
      <c r="H197" s="7"/>
      <c r="I197" s="7"/>
      <c r="J197" s="7"/>
      <c r="N197" s="379" t="str">
        <f t="shared" ref="N197:N201" si="100">+A197</f>
        <v>West Region</v>
      </c>
      <c r="O197" s="10"/>
      <c r="P197" s="375"/>
      <c r="Q197" s="375"/>
      <c r="R197" s="375"/>
      <c r="S197" s="375"/>
      <c r="T197" s="376"/>
    </row>
    <row r="198" spans="1:20" x14ac:dyDescent="0.2">
      <c r="A198" s="1" t="str">
        <f>+A165</f>
        <v>Denver</v>
      </c>
      <c r="F198" s="7">
        <f t="shared" ref="F198:J201" si="101">+F131/F165</f>
        <v>0</v>
      </c>
      <c r="G198" s="7">
        <f t="shared" si="101"/>
        <v>1218.8768428269861</v>
      </c>
      <c r="H198" s="7">
        <f t="shared" si="101"/>
        <v>4536.2533167210995</v>
      </c>
      <c r="I198" s="7">
        <f t="shared" si="101"/>
        <v>7952.8768375423997</v>
      </c>
      <c r="J198" s="7">
        <f t="shared" si="101"/>
        <v>8072.1699901055335</v>
      </c>
      <c r="N198" s="270" t="str">
        <f t="shared" ref="N198" si="102">+A198</f>
        <v>Denver</v>
      </c>
      <c r="O198" s="10"/>
      <c r="P198" s="375">
        <f t="shared" ref="P198" si="103">+F198/365</f>
        <v>0</v>
      </c>
      <c r="Q198" s="375">
        <f t="shared" ref="Q198" si="104">+G198/365</f>
        <v>3.3393886104848938</v>
      </c>
      <c r="R198" s="375">
        <f t="shared" ref="R198" si="105">+H198/365</f>
        <v>12.428091278687944</v>
      </c>
      <c r="S198" s="375">
        <f t="shared" ref="S198" si="106">+I198/365</f>
        <v>21.788703664499725</v>
      </c>
      <c r="T198" s="376">
        <f t="shared" ref="T198" si="107">+J198/365</f>
        <v>22.115534219467214</v>
      </c>
    </row>
    <row r="199" spans="1:20" x14ac:dyDescent="0.2">
      <c r="A199" s="1" t="str">
        <f>+A166</f>
        <v>Los Angeles</v>
      </c>
      <c r="F199" s="7">
        <f t="shared" si="101"/>
        <v>0</v>
      </c>
      <c r="G199" s="7">
        <f t="shared" si="101"/>
        <v>5053.7460086949686</v>
      </c>
      <c r="H199" s="7">
        <f t="shared" si="101"/>
        <v>18808.358062359774</v>
      </c>
      <c r="I199" s="7">
        <f t="shared" si="101"/>
        <v>32974.471384782562</v>
      </c>
      <c r="J199" s="7">
        <f t="shared" si="101"/>
        <v>33469.088455554302</v>
      </c>
      <c r="N199" s="270" t="str">
        <f t="shared" si="100"/>
        <v>Los Angeles</v>
      </c>
      <c r="O199" s="10"/>
      <c r="P199" s="375">
        <f t="shared" ref="P199:P201" si="108">+F199/365</f>
        <v>0</v>
      </c>
      <c r="Q199" s="375">
        <f t="shared" ref="Q199:Q201" si="109">+G199/365</f>
        <v>13.845879475876627</v>
      </c>
      <c r="R199" s="375">
        <f t="shared" ref="R199:R201" si="110">+H199/365</f>
        <v>51.529748116054172</v>
      </c>
      <c r="S199" s="375">
        <f t="shared" ref="S199:S201" si="111">+I199/365</f>
        <v>90.341017492554968</v>
      </c>
      <c r="T199" s="376">
        <f t="shared" ref="T199:T201" si="112">+J199/365</f>
        <v>91.696132754943292</v>
      </c>
    </row>
    <row r="200" spans="1:20" x14ac:dyDescent="0.2">
      <c r="A200" s="1" t="str">
        <f>+A167</f>
        <v>San Francisco</v>
      </c>
      <c r="F200" s="7">
        <f t="shared" si="101"/>
        <v>1029.8767427755172</v>
      </c>
      <c r="G200" s="7">
        <f t="shared" si="101"/>
        <v>3832.8579443628828</v>
      </c>
      <c r="H200" s="7">
        <f t="shared" si="101"/>
        <v>6719.6968597307441</v>
      </c>
      <c r="I200" s="7">
        <f t="shared" si="101"/>
        <v>6820.4923126267058</v>
      </c>
      <c r="J200" s="7">
        <f t="shared" si="101"/>
        <v>6922.7996973161053</v>
      </c>
      <c r="N200" s="270" t="str">
        <f t="shared" si="100"/>
        <v>San Francisco</v>
      </c>
      <c r="O200" s="10"/>
      <c r="P200" s="375">
        <f t="shared" si="108"/>
        <v>2.8215801171931978</v>
      </c>
      <c r="Q200" s="375">
        <f t="shared" si="109"/>
        <v>10.500980669487349</v>
      </c>
      <c r="R200" s="375">
        <f t="shared" si="110"/>
        <v>18.410128382823956</v>
      </c>
      <c r="S200" s="375">
        <f t="shared" si="111"/>
        <v>18.686280308566317</v>
      </c>
      <c r="T200" s="376">
        <f t="shared" si="112"/>
        <v>18.966574513194811</v>
      </c>
    </row>
    <row r="201" spans="1:20" x14ac:dyDescent="0.2">
      <c r="A201" s="1" t="str">
        <f>+A168</f>
        <v>Phoenix / Scottsdale</v>
      </c>
      <c r="F201" s="7">
        <f t="shared" si="101"/>
        <v>1623.9299144963591</v>
      </c>
      <c r="G201" s="7">
        <f t="shared" si="101"/>
        <v>6043.7258317839487</v>
      </c>
      <c r="H201" s="7">
        <f t="shared" si="101"/>
        <v>10595.750242359405</v>
      </c>
      <c r="I201" s="7">
        <f t="shared" si="101"/>
        <v>10754.686495994794</v>
      </c>
      <c r="J201" s="7">
        <f t="shared" si="101"/>
        <v>10916.006793434717</v>
      </c>
      <c r="N201" s="270" t="str">
        <f t="shared" si="100"/>
        <v>Phoenix / Scottsdale</v>
      </c>
      <c r="O201" s="10"/>
      <c r="P201" s="375">
        <f t="shared" si="108"/>
        <v>4.4491230534146826</v>
      </c>
      <c r="Q201" s="375">
        <f t="shared" si="109"/>
        <v>16.558152963791642</v>
      </c>
      <c r="R201" s="375">
        <f t="shared" si="110"/>
        <v>29.029452718792889</v>
      </c>
      <c r="S201" s="375">
        <f t="shared" si="111"/>
        <v>29.46489450957478</v>
      </c>
      <c r="T201" s="376">
        <f t="shared" si="112"/>
        <v>29.906867927218403</v>
      </c>
    </row>
    <row r="202" spans="1:20" x14ac:dyDescent="0.2">
      <c r="F202" s="7"/>
      <c r="G202" s="7"/>
      <c r="H202" s="7"/>
      <c r="I202" s="7"/>
      <c r="J202" s="7"/>
      <c r="N202" s="270"/>
      <c r="O202" s="10"/>
      <c r="P202" s="375"/>
      <c r="Q202" s="375"/>
      <c r="R202" s="375"/>
      <c r="S202" s="375"/>
      <c r="T202" s="376"/>
    </row>
    <row r="203" spans="1:20" x14ac:dyDescent="0.2">
      <c r="A203" s="346" t="str">
        <f>+A170</f>
        <v>Pacific Northwest</v>
      </c>
      <c r="F203" s="7"/>
      <c r="G203" s="7"/>
      <c r="H203" s="7"/>
      <c r="I203" s="7"/>
      <c r="J203" s="7"/>
      <c r="N203" s="379" t="str">
        <f t="shared" ref="N203:N205" si="113">+A203</f>
        <v>Pacific Northwest</v>
      </c>
      <c r="O203" s="10"/>
      <c r="P203" s="375"/>
      <c r="Q203" s="375"/>
      <c r="R203" s="375"/>
      <c r="S203" s="375"/>
      <c r="T203" s="376"/>
    </row>
    <row r="204" spans="1:20" x14ac:dyDescent="0.2">
      <c r="A204" s="1" t="str">
        <f>+A171</f>
        <v>Portland</v>
      </c>
      <c r="F204" s="7">
        <f t="shared" ref="F204:J205" si="114">+F137/F171</f>
        <v>0</v>
      </c>
      <c r="G204" s="7">
        <f t="shared" si="114"/>
        <v>1811.0082264080772</v>
      </c>
      <c r="H204" s="7">
        <f t="shared" si="114"/>
        <v>6739.9689492820589</v>
      </c>
      <c r="I204" s="7">
        <f t="shared" si="114"/>
        <v>11816.39101699132</v>
      </c>
      <c r="J204" s="7">
        <f t="shared" si="114"/>
        <v>11993.636882246186</v>
      </c>
      <c r="N204" s="270" t="str">
        <f t="shared" si="113"/>
        <v>Portland</v>
      </c>
      <c r="O204" s="10"/>
      <c r="P204" s="375">
        <f t="shared" ref="P204:P205" si="115">+F204/365</f>
        <v>0</v>
      </c>
      <c r="Q204" s="375">
        <f t="shared" ref="Q204:Q205" si="116">+G204/365</f>
        <v>4.9616663737207594</v>
      </c>
      <c r="R204" s="375">
        <f t="shared" ref="R204:R205" si="117">+H204/365</f>
        <v>18.465668354197422</v>
      </c>
      <c r="S204" s="375">
        <f t="shared" ref="S204:S205" si="118">+I204/365</f>
        <v>32.373674019154301</v>
      </c>
      <c r="T204" s="376">
        <f t="shared" ref="T204:T205" si="119">+J204/365</f>
        <v>32.859279129441603</v>
      </c>
    </row>
    <row r="205" spans="1:20" x14ac:dyDescent="0.2">
      <c r="A205" s="1" t="str">
        <f>+A172</f>
        <v>Seattle</v>
      </c>
      <c r="F205" s="7">
        <f t="shared" si="114"/>
        <v>0</v>
      </c>
      <c r="G205" s="7">
        <f t="shared" si="114"/>
        <v>1561.552869747004</v>
      </c>
      <c r="H205" s="7">
        <f t="shared" si="114"/>
        <v>5811.5792635750995</v>
      </c>
      <c r="I205" s="7">
        <f t="shared" si="114"/>
        <v>10188.755099822345</v>
      </c>
      <c r="J205" s="7">
        <f t="shared" si="114"/>
        <v>10341.58642631968</v>
      </c>
      <c r="N205" s="374" t="str">
        <f t="shared" si="113"/>
        <v>Seattle</v>
      </c>
      <c r="O205" s="6"/>
      <c r="P205" s="8">
        <f t="shared" si="115"/>
        <v>0</v>
      </c>
      <c r="Q205" s="8">
        <f t="shared" si="116"/>
        <v>4.2782270404027507</v>
      </c>
      <c r="R205" s="8">
        <f t="shared" si="117"/>
        <v>15.922134968698902</v>
      </c>
      <c r="S205" s="8">
        <f t="shared" si="118"/>
        <v>27.91439753375985</v>
      </c>
      <c r="T205" s="377">
        <f t="shared" si="119"/>
        <v>28.333113496766245</v>
      </c>
    </row>
    <row r="207" spans="1:20" x14ac:dyDescent="0.2">
      <c r="N207" s="12" t="s">
        <v>2258</v>
      </c>
      <c r="P207" s="298">
        <v>15</v>
      </c>
      <c r="Q207" s="1" t="s">
        <v>2259</v>
      </c>
    </row>
    <row r="208" spans="1:20" x14ac:dyDescent="0.2">
      <c r="N208" s="12"/>
      <c r="P208" s="398"/>
    </row>
    <row r="209" spans="14:20" x14ac:dyDescent="0.2">
      <c r="P209" s="285">
        <v>2014</v>
      </c>
      <c r="Q209" s="285">
        <f t="shared" ref="Q209" si="120">+P209+1</f>
        <v>2015</v>
      </c>
      <c r="R209" s="285">
        <f t="shared" ref="R209" si="121">+Q209+1</f>
        <v>2016</v>
      </c>
      <c r="S209" s="285">
        <f t="shared" ref="S209" si="122">+R209+1</f>
        <v>2017</v>
      </c>
      <c r="T209" s="285">
        <f t="shared" ref="T209" si="123">+S209+1</f>
        <v>2018</v>
      </c>
    </row>
    <row r="210" spans="14:20" x14ac:dyDescent="0.2">
      <c r="N210" s="378" t="str">
        <f>+N177</f>
        <v>Northeast</v>
      </c>
      <c r="O210" s="266"/>
      <c r="P210" s="266"/>
      <c r="Q210" s="266"/>
      <c r="R210" s="266"/>
      <c r="S210" s="266"/>
      <c r="T210" s="373"/>
    </row>
    <row r="211" spans="14:20" x14ac:dyDescent="0.2">
      <c r="N211" s="270" t="str">
        <f>+N178</f>
        <v>Boston</v>
      </c>
      <c r="O211" s="10"/>
      <c r="P211" s="438">
        <f>+P178/$P$207</f>
        <v>0</v>
      </c>
      <c r="Q211" s="438">
        <f t="shared" ref="Q211:T211" si="124">+Q178/$P$207</f>
        <v>0.6182712479177811</v>
      </c>
      <c r="R211" s="438">
        <f t="shared" si="124"/>
        <v>2.3009994943340089</v>
      </c>
      <c r="S211" s="438">
        <f t="shared" si="124"/>
        <v>4.0340704771119418</v>
      </c>
      <c r="T211" s="439">
        <f t="shared" si="124"/>
        <v>4.0945815342686203</v>
      </c>
    </row>
    <row r="212" spans="14:20" x14ac:dyDescent="0.2">
      <c r="N212" s="270" t="str">
        <f>+N179</f>
        <v>D.C. Metro Area</v>
      </c>
      <c r="O212" s="10"/>
      <c r="P212" s="438">
        <f t="shared" ref="P212:T212" si="125">+P179/$P$207</f>
        <v>0</v>
      </c>
      <c r="Q212" s="438">
        <f t="shared" si="125"/>
        <v>0.43767286839203579</v>
      </c>
      <c r="R212" s="438">
        <f t="shared" si="125"/>
        <v>1.6288725251990261</v>
      </c>
      <c r="S212" s="438">
        <f t="shared" si="125"/>
        <v>2.8557096953148378</v>
      </c>
      <c r="T212" s="439">
        <f t="shared" si="125"/>
        <v>2.8985453407445601</v>
      </c>
    </row>
    <row r="213" spans="14:20" x14ac:dyDescent="0.2">
      <c r="N213" s="270" t="str">
        <f>+N180</f>
        <v>NY / NJ Metro Area</v>
      </c>
      <c r="O213" s="10"/>
      <c r="P213" s="438">
        <f t="shared" ref="P213:T213" si="126">+P180/$P$207</f>
        <v>0.57418449838153574</v>
      </c>
      <c r="Q213" s="438">
        <f t="shared" si="126"/>
        <v>2.1369233081432824</v>
      </c>
      <c r="R213" s="438">
        <f t="shared" si="126"/>
        <v>3.7464150906857459</v>
      </c>
      <c r="S213" s="438">
        <f t="shared" si="126"/>
        <v>3.8026113170460314</v>
      </c>
      <c r="T213" s="439">
        <f t="shared" si="126"/>
        <v>3.8596504868017214</v>
      </c>
    </row>
    <row r="214" spans="14:20" x14ac:dyDescent="0.2">
      <c r="N214" s="270" t="str">
        <f>+N181</f>
        <v>Philadelphia</v>
      </c>
      <c r="O214" s="10"/>
      <c r="P214" s="438">
        <f t="shared" ref="P214:T214" si="127">+P181/$P$207</f>
        <v>0</v>
      </c>
      <c r="Q214" s="438">
        <f t="shared" si="127"/>
        <v>0.82772144585911012</v>
      </c>
      <c r="R214" s="438">
        <f t="shared" si="127"/>
        <v>3.0805033143389884</v>
      </c>
      <c r="S214" s="438">
        <f t="shared" si="127"/>
        <v>5.4006824015479431</v>
      </c>
      <c r="T214" s="439">
        <f t="shared" si="127"/>
        <v>5.4816926375711619</v>
      </c>
    </row>
    <row r="215" spans="14:20" x14ac:dyDescent="0.2">
      <c r="N215" s="270"/>
      <c r="O215" s="10"/>
      <c r="P215" s="375"/>
      <c r="Q215" s="375"/>
      <c r="R215" s="375"/>
      <c r="S215" s="375"/>
      <c r="T215" s="376"/>
    </row>
    <row r="216" spans="14:20" x14ac:dyDescent="0.2">
      <c r="N216" s="278" t="str">
        <f>+N183</f>
        <v>Florida</v>
      </c>
      <c r="O216" s="10"/>
      <c r="P216" s="375"/>
      <c r="Q216" s="375"/>
      <c r="R216" s="375"/>
      <c r="S216" s="375"/>
      <c r="T216" s="376"/>
    </row>
    <row r="217" spans="14:20" x14ac:dyDescent="0.2">
      <c r="N217" s="270" t="str">
        <f>+N184</f>
        <v>Miami / Fort Lauderdale</v>
      </c>
      <c r="O217" s="10"/>
      <c r="P217" s="438">
        <f>+P184/$P$207</f>
        <v>0</v>
      </c>
      <c r="Q217" s="438">
        <f t="shared" ref="Q217:T217" si="128">+Q184/$P$207</f>
        <v>0.48160583655511213</v>
      </c>
      <c r="R217" s="438">
        <f t="shared" si="128"/>
        <v>1.7923763883792752</v>
      </c>
      <c r="S217" s="438">
        <f t="shared" si="128"/>
        <v>3.1423616954449383</v>
      </c>
      <c r="T217" s="439">
        <f t="shared" si="128"/>
        <v>3.1894971208766116</v>
      </c>
    </row>
    <row r="218" spans="14:20" x14ac:dyDescent="0.2">
      <c r="N218" s="270" t="str">
        <f>+N185</f>
        <v>Orlando</v>
      </c>
      <c r="O218" s="10"/>
      <c r="P218" s="438">
        <f t="shared" ref="P218:T218" si="129">+P185/$P$207</f>
        <v>0</v>
      </c>
      <c r="Q218" s="438">
        <f t="shared" si="129"/>
        <v>0.18583844686384085</v>
      </c>
      <c r="R218" s="438">
        <f t="shared" si="129"/>
        <v>0.69162875307826088</v>
      </c>
      <c r="S218" s="438">
        <f t="shared" si="129"/>
        <v>1.2125509548285691</v>
      </c>
      <c r="T218" s="439">
        <f t="shared" si="129"/>
        <v>1.2307392191509974</v>
      </c>
    </row>
    <row r="219" spans="14:20" x14ac:dyDescent="0.2">
      <c r="N219" s="270" t="str">
        <f>+N186</f>
        <v>Tampa Bay</v>
      </c>
      <c r="O219" s="10"/>
      <c r="P219" s="438">
        <f t="shared" ref="P219:T219" si="130">+P186/$P$207</f>
        <v>0</v>
      </c>
      <c r="Q219" s="438">
        <f t="shared" si="130"/>
        <v>0.23758699887815485</v>
      </c>
      <c r="R219" s="438">
        <f t="shared" si="130"/>
        <v>0.88421961415819961</v>
      </c>
      <c r="S219" s="438">
        <f t="shared" si="130"/>
        <v>1.550197750821898</v>
      </c>
      <c r="T219" s="439">
        <f t="shared" si="130"/>
        <v>1.5734507170842265</v>
      </c>
    </row>
    <row r="220" spans="14:20" x14ac:dyDescent="0.2">
      <c r="N220" s="270"/>
      <c r="O220" s="10"/>
      <c r="P220" s="375"/>
      <c r="Q220" s="375"/>
      <c r="R220" s="375"/>
      <c r="S220" s="375"/>
      <c r="T220" s="376"/>
    </row>
    <row r="221" spans="14:20" x14ac:dyDescent="0.2">
      <c r="N221" s="278" t="str">
        <f>+N188</f>
        <v>Mid-West</v>
      </c>
      <c r="O221" s="10"/>
      <c r="P221" s="375"/>
      <c r="Q221" s="375"/>
      <c r="R221" s="375"/>
      <c r="S221" s="375"/>
      <c r="T221" s="376"/>
    </row>
    <row r="222" spans="14:20" x14ac:dyDescent="0.2">
      <c r="N222" s="270" t="str">
        <f>+N189</f>
        <v>Chicago</v>
      </c>
      <c r="O222" s="10"/>
      <c r="P222" s="438">
        <f>+P189/$P$207</f>
        <v>0</v>
      </c>
      <c r="Q222" s="438">
        <f t="shared" ref="Q222:T222" si="131">+Q189/$P$207</f>
        <v>0.31522181799881815</v>
      </c>
      <c r="R222" s="438">
        <f t="shared" si="131"/>
        <v>1.1731505326522684</v>
      </c>
      <c r="S222" s="438">
        <f t="shared" si="131"/>
        <v>2.0567461838362719</v>
      </c>
      <c r="T222" s="439">
        <f t="shared" si="131"/>
        <v>2.0875973765938158</v>
      </c>
    </row>
    <row r="223" spans="14:20" x14ac:dyDescent="0.2">
      <c r="N223" s="270" t="str">
        <f>+N190</f>
        <v>Detriot</v>
      </c>
      <c r="O223" s="10"/>
      <c r="P223" s="438">
        <f t="shared" ref="P223:T223" si="132">+P190/$P$207</f>
        <v>0</v>
      </c>
      <c r="Q223" s="438">
        <f t="shared" si="132"/>
        <v>0.39654939478300777</v>
      </c>
      <c r="R223" s="438">
        <f t="shared" si="132"/>
        <v>1.4758246642507609</v>
      </c>
      <c r="S223" s="438">
        <f t="shared" si="132"/>
        <v>2.5873889681887192</v>
      </c>
      <c r="T223" s="439">
        <f t="shared" si="132"/>
        <v>2.6261998027115494</v>
      </c>
    </row>
    <row r="224" spans="14:20" x14ac:dyDescent="0.2">
      <c r="N224" s="270" t="str">
        <f>+N191</f>
        <v>Minneapolis</v>
      </c>
      <c r="O224" s="10"/>
      <c r="P224" s="438">
        <f t="shared" ref="P224:T224" si="133">+P191/$P$207</f>
        <v>0</v>
      </c>
      <c r="Q224" s="438">
        <f t="shared" si="133"/>
        <v>0.42158364297102868</v>
      </c>
      <c r="R224" s="438">
        <f t="shared" si="133"/>
        <v>1.5689937912571785</v>
      </c>
      <c r="S224" s="438">
        <f t="shared" si="133"/>
        <v>2.7507313876722441</v>
      </c>
      <c r="T224" s="439">
        <f t="shared" si="133"/>
        <v>2.7919923584873274</v>
      </c>
    </row>
    <row r="225" spans="14:20" x14ac:dyDescent="0.2">
      <c r="N225" s="270"/>
      <c r="O225" s="10"/>
      <c r="P225" s="375"/>
      <c r="Q225" s="375"/>
      <c r="R225" s="375"/>
      <c r="S225" s="375"/>
      <c r="T225" s="376"/>
    </row>
    <row r="226" spans="14:20" x14ac:dyDescent="0.2">
      <c r="N226" s="278" t="str">
        <f>+N193</f>
        <v>Texas</v>
      </c>
      <c r="O226" s="10"/>
      <c r="P226" s="375"/>
      <c r="Q226" s="375"/>
      <c r="R226" s="375"/>
      <c r="S226" s="375"/>
      <c r="T226" s="376"/>
    </row>
    <row r="227" spans="14:20" x14ac:dyDescent="0.2">
      <c r="N227" s="270" t="str">
        <f>+N194</f>
        <v>Dallas</v>
      </c>
      <c r="O227" s="10"/>
      <c r="P227" s="438">
        <f>+P194/$P$207</f>
        <v>0</v>
      </c>
      <c r="Q227" s="438">
        <f t="shared" ref="Q227:T227" si="134">+Q194/$P$207</f>
        <v>0.42851525071976654</v>
      </c>
      <c r="R227" s="438">
        <f t="shared" si="134"/>
        <v>1.5947909247620642</v>
      </c>
      <c r="S227" s="438">
        <f t="shared" si="134"/>
        <v>2.7959584530942183</v>
      </c>
      <c r="T227" s="439">
        <f t="shared" si="134"/>
        <v>2.8378978298906312</v>
      </c>
    </row>
    <row r="228" spans="14:20" x14ac:dyDescent="0.2">
      <c r="N228" s="270" t="str">
        <f>+N195</f>
        <v>Houston</v>
      </c>
      <c r="O228" s="10"/>
      <c r="P228" s="438">
        <f t="shared" ref="P228:T228" si="135">+P195/$P$207</f>
        <v>0</v>
      </c>
      <c r="Q228" s="438">
        <f t="shared" si="135"/>
        <v>0.39500929067503204</v>
      </c>
      <c r="R228" s="438">
        <f t="shared" si="135"/>
        <v>1.4700929101289109</v>
      </c>
      <c r="S228" s="438">
        <f t="shared" si="135"/>
        <v>2.5773401610760036</v>
      </c>
      <c r="T228" s="439">
        <f t="shared" si="135"/>
        <v>2.6160002634921438</v>
      </c>
    </row>
    <row r="229" spans="14:20" x14ac:dyDescent="0.2">
      <c r="N229" s="270"/>
      <c r="O229" s="10"/>
      <c r="P229" s="375"/>
      <c r="Q229" s="375"/>
      <c r="R229" s="375"/>
      <c r="S229" s="375"/>
      <c r="T229" s="376"/>
    </row>
    <row r="230" spans="14:20" x14ac:dyDescent="0.2">
      <c r="N230" s="278" t="str">
        <f>+N197</f>
        <v>West Region</v>
      </c>
      <c r="O230" s="10"/>
      <c r="P230" s="375"/>
      <c r="Q230" s="375"/>
      <c r="R230" s="375"/>
      <c r="S230" s="375"/>
      <c r="T230" s="376"/>
    </row>
    <row r="231" spans="14:20" x14ac:dyDescent="0.2">
      <c r="N231" s="270" t="str">
        <f>+N198</f>
        <v>Denver</v>
      </c>
      <c r="O231" s="10"/>
      <c r="P231" s="438">
        <f>+P198/$P$207</f>
        <v>0</v>
      </c>
      <c r="Q231" s="438">
        <f t="shared" ref="Q231:T231" si="136">+Q198/$P$207</f>
        <v>0.2226259073656596</v>
      </c>
      <c r="R231" s="438">
        <f t="shared" si="136"/>
        <v>0.82853941857919622</v>
      </c>
      <c r="S231" s="438">
        <f t="shared" si="136"/>
        <v>1.4525802442999816</v>
      </c>
      <c r="T231" s="439">
        <f t="shared" si="136"/>
        <v>1.474368947964481</v>
      </c>
    </row>
    <row r="232" spans="14:20" x14ac:dyDescent="0.2">
      <c r="N232" s="270" t="str">
        <f>+N199</f>
        <v>Los Angeles</v>
      </c>
      <c r="O232" s="10"/>
      <c r="P232" s="438">
        <f t="shared" ref="P232:T232" si="137">+P199/$P$207</f>
        <v>0</v>
      </c>
      <c r="Q232" s="438">
        <f t="shared" si="137"/>
        <v>0.92305863172510849</v>
      </c>
      <c r="R232" s="438">
        <f t="shared" si="137"/>
        <v>3.4353165410702782</v>
      </c>
      <c r="S232" s="438">
        <f t="shared" si="137"/>
        <v>6.0227344995036649</v>
      </c>
      <c r="T232" s="439">
        <f t="shared" si="137"/>
        <v>6.1130755169962194</v>
      </c>
    </row>
    <row r="233" spans="14:20" x14ac:dyDescent="0.2">
      <c r="N233" s="270" t="str">
        <f>+N200</f>
        <v>San Francisco</v>
      </c>
      <c r="O233" s="10"/>
      <c r="P233" s="438">
        <f t="shared" ref="P233:T233" si="138">+P200/$P$207</f>
        <v>0.18810534114621319</v>
      </c>
      <c r="Q233" s="438">
        <f t="shared" si="138"/>
        <v>0.70006537796582324</v>
      </c>
      <c r="R233" s="438">
        <f t="shared" si="138"/>
        <v>1.2273418921882637</v>
      </c>
      <c r="S233" s="438">
        <f t="shared" si="138"/>
        <v>1.2457520205710879</v>
      </c>
      <c r="T233" s="439">
        <f t="shared" si="138"/>
        <v>1.264438300879654</v>
      </c>
    </row>
    <row r="234" spans="14:20" x14ac:dyDescent="0.2">
      <c r="N234" s="270" t="str">
        <f>+N201</f>
        <v>Phoenix / Scottsdale</v>
      </c>
      <c r="O234" s="10"/>
      <c r="P234" s="438">
        <f t="shared" ref="P234:T234" si="139">+P201/$P$207</f>
        <v>0.29660820356097883</v>
      </c>
      <c r="Q234" s="438">
        <f t="shared" si="139"/>
        <v>1.1038768642527761</v>
      </c>
      <c r="R234" s="438">
        <f t="shared" si="139"/>
        <v>1.9352968479195261</v>
      </c>
      <c r="S234" s="438">
        <f t="shared" si="139"/>
        <v>1.9643263006383187</v>
      </c>
      <c r="T234" s="439">
        <f t="shared" si="139"/>
        <v>1.9937911951478935</v>
      </c>
    </row>
    <row r="235" spans="14:20" x14ac:dyDescent="0.2">
      <c r="N235" s="270"/>
      <c r="O235" s="10"/>
      <c r="P235" s="375"/>
      <c r="Q235" s="375"/>
      <c r="R235" s="375"/>
      <c r="S235" s="375"/>
      <c r="T235" s="376"/>
    </row>
    <row r="236" spans="14:20" x14ac:dyDescent="0.2">
      <c r="N236" s="278" t="str">
        <f>+N203</f>
        <v>Pacific Northwest</v>
      </c>
      <c r="O236" s="10"/>
      <c r="P236" s="375"/>
      <c r="Q236" s="375"/>
      <c r="R236" s="375"/>
      <c r="S236" s="375"/>
      <c r="T236" s="376"/>
    </row>
    <row r="237" spans="14:20" x14ac:dyDescent="0.2">
      <c r="N237" s="270" t="str">
        <f>+N204</f>
        <v>Portland</v>
      </c>
      <c r="O237" s="10"/>
      <c r="P237" s="438">
        <f t="shared" ref="P237:T237" si="140">+P204/$P$207</f>
        <v>0</v>
      </c>
      <c r="Q237" s="438">
        <f t="shared" si="140"/>
        <v>0.33077775824805061</v>
      </c>
      <c r="R237" s="438">
        <f t="shared" si="140"/>
        <v>1.2310445569464947</v>
      </c>
      <c r="S237" s="438">
        <f t="shared" si="140"/>
        <v>2.1582449346102868</v>
      </c>
      <c r="T237" s="439">
        <f t="shared" si="140"/>
        <v>2.1906186086294404</v>
      </c>
    </row>
    <row r="238" spans="14:20" x14ac:dyDescent="0.2">
      <c r="N238" s="374" t="str">
        <f>+N205</f>
        <v>Seattle</v>
      </c>
      <c r="O238" s="6"/>
      <c r="P238" s="440">
        <f t="shared" ref="P238:T238" si="141">+P205/$P$207</f>
        <v>0</v>
      </c>
      <c r="Q238" s="440">
        <f t="shared" si="141"/>
        <v>0.28521513602685006</v>
      </c>
      <c r="R238" s="440">
        <f t="shared" si="141"/>
        <v>1.0614756645799268</v>
      </c>
      <c r="S238" s="440">
        <f t="shared" si="141"/>
        <v>1.86095983558399</v>
      </c>
      <c r="T238" s="441">
        <f t="shared" si="141"/>
        <v>1.8888742331177497</v>
      </c>
    </row>
  </sheetData>
  <sortState ref="A6:A21">
    <sortCondition ref="A6:A21"/>
  </sortState>
  <conditionalFormatting sqref="P199:T205 P178:T197">
    <cfRule type="cellIs" dxfId="4" priority="7" operator="greaterThan">
      <formula>15</formula>
    </cfRule>
  </conditionalFormatting>
  <conditionalFormatting sqref="P198:T198">
    <cfRule type="cellIs" dxfId="3" priority="6" operator="greaterThan">
      <formula>15</formula>
    </cfRule>
  </conditionalFormatting>
  <conditionalFormatting sqref="P235:T236 P211:T230">
    <cfRule type="cellIs" dxfId="2" priority="5" operator="greaterThan">
      <formula>15</formula>
    </cfRule>
  </conditionalFormatting>
  <conditionalFormatting sqref="P231:T234">
    <cfRule type="cellIs" dxfId="1" priority="2" operator="greaterThan">
      <formula>15</formula>
    </cfRule>
  </conditionalFormatting>
  <conditionalFormatting sqref="P237:T238">
    <cfRule type="cellIs" dxfId="0" priority="1" operator="greaterThan">
      <formula>15</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183"/>
  <sheetViews>
    <sheetView showGridLines="0" zoomScale="85" zoomScaleNormal="85" workbookViewId="0">
      <pane xSplit="4" ySplit="6" topLeftCell="E7" activePane="bottomRight" state="frozen"/>
      <selection pane="topRight" activeCell="D1" sqref="D1"/>
      <selection pane="bottomLeft" activeCell="A5" sqref="A5"/>
      <selection pane="bottomRight" activeCell="G46" sqref="G46"/>
    </sheetView>
  </sheetViews>
  <sheetFormatPr defaultRowHeight="12.75" outlineLevelRow="1" x14ac:dyDescent="0.2"/>
  <cols>
    <col min="1" max="3" width="9.140625" style="1"/>
    <col min="4" max="7" width="12.140625" style="1" customWidth="1"/>
    <col min="8" max="8" width="13" style="1" customWidth="1"/>
    <col min="9" max="17" width="15.7109375" style="1" customWidth="1"/>
    <col min="18" max="16384" width="9.140625" style="1"/>
  </cols>
  <sheetData>
    <row r="1" spans="1:21" x14ac:dyDescent="0.2">
      <c r="A1" s="281" t="s">
        <v>181</v>
      </c>
      <c r="B1" s="282"/>
      <c r="C1" s="282"/>
      <c r="D1" s="283"/>
      <c r="E1" s="10"/>
      <c r="F1" s="317"/>
      <c r="G1" s="317"/>
      <c r="H1" s="10"/>
      <c r="I1" s="284" t="s">
        <v>188</v>
      </c>
      <c r="J1" s="284"/>
      <c r="K1" s="284"/>
      <c r="L1" s="284"/>
      <c r="M1" s="284"/>
      <c r="Q1" s="289"/>
      <c r="R1" s="289"/>
      <c r="S1" s="289"/>
    </row>
    <row r="2" spans="1:21" x14ac:dyDescent="0.2">
      <c r="A2" s="5"/>
      <c r="F2" s="289"/>
      <c r="G2" s="289"/>
    </row>
    <row r="3" spans="1:21" s="289" customFormat="1" x14ac:dyDescent="0.2">
      <c r="A3" s="332"/>
    </row>
    <row r="4" spans="1:21" s="289" customFormat="1" x14ac:dyDescent="0.2">
      <c r="A4" s="332"/>
      <c r="E4" s="436">
        <v>2014</v>
      </c>
      <c r="F4" s="437"/>
      <c r="G4" s="437"/>
      <c r="H4" s="437"/>
      <c r="J4" s="436">
        <v>2015</v>
      </c>
      <c r="K4" s="437"/>
      <c r="L4" s="437"/>
      <c r="M4" s="437"/>
    </row>
    <row r="5" spans="1:21" x14ac:dyDescent="0.2">
      <c r="E5" s="399" t="s">
        <v>2252</v>
      </c>
      <c r="F5" s="399" t="s">
        <v>2253</v>
      </c>
      <c r="G5" s="399" t="s">
        <v>2254</v>
      </c>
      <c r="H5" s="399" t="s">
        <v>2255</v>
      </c>
      <c r="I5" s="285">
        <v>2014</v>
      </c>
      <c r="J5" s="399" t="s">
        <v>2252</v>
      </c>
      <c r="K5" s="399" t="s">
        <v>2253</v>
      </c>
      <c r="L5" s="399" t="s">
        <v>2254</v>
      </c>
      <c r="M5" s="399" t="s">
        <v>2255</v>
      </c>
      <c r="N5" s="285">
        <f>+I5+1</f>
        <v>2015</v>
      </c>
      <c r="O5" s="285">
        <f t="shared" ref="O5:Q5" si="0">+N5+1</f>
        <v>2016</v>
      </c>
      <c r="P5" s="285">
        <f t="shared" si="0"/>
        <v>2017</v>
      </c>
      <c r="Q5" s="285">
        <f t="shared" si="0"/>
        <v>2018</v>
      </c>
    </row>
    <row r="6" spans="1:21" ht="5.0999999999999996" customHeight="1" x14ac:dyDescent="0.2">
      <c r="E6" s="286" t="s">
        <v>180</v>
      </c>
      <c r="F6" s="286" t="s">
        <v>180</v>
      </c>
      <c r="G6" s="286" t="s">
        <v>180</v>
      </c>
      <c r="H6" s="286" t="s">
        <v>180</v>
      </c>
      <c r="I6" s="286" t="s">
        <v>180</v>
      </c>
      <c r="J6" s="286" t="s">
        <v>180</v>
      </c>
      <c r="K6" s="286" t="s">
        <v>180</v>
      </c>
      <c r="L6" s="286" t="s">
        <v>180</v>
      </c>
      <c r="M6" s="286" t="s">
        <v>180</v>
      </c>
      <c r="N6" s="286" t="s">
        <v>180</v>
      </c>
      <c r="O6" s="286" t="s">
        <v>180</v>
      </c>
      <c r="P6" s="286" t="s">
        <v>180</v>
      </c>
      <c r="Q6" s="286" t="s">
        <v>180</v>
      </c>
    </row>
    <row r="7" spans="1:21" s="289" customFormat="1" x14ac:dyDescent="0.2">
      <c r="A7" s="411" t="s">
        <v>183</v>
      </c>
    </row>
    <row r="8" spans="1:21" x14ac:dyDescent="0.2">
      <c r="A8" s="1" t="s">
        <v>53</v>
      </c>
      <c r="E8" s="287">
        <f t="shared" ref="E8:Q8" ca="1" si="1">+E115</f>
        <v>17.666666666666668</v>
      </c>
      <c r="F8" s="287">
        <f t="shared" ca="1" si="1"/>
        <v>60</v>
      </c>
      <c r="G8" s="287">
        <f t="shared" ca="1" si="1"/>
        <v>233.33333333333334</v>
      </c>
      <c r="H8" s="287">
        <f t="shared" ca="1" si="1"/>
        <v>800</v>
      </c>
      <c r="I8" s="287">
        <f t="shared" ca="1" si="1"/>
        <v>277.75</v>
      </c>
      <c r="J8" s="287">
        <f t="shared" ca="1" si="1"/>
        <v>1200</v>
      </c>
      <c r="K8" s="287">
        <f t="shared" ca="1" si="1"/>
        <v>1500</v>
      </c>
      <c r="L8" s="287">
        <f t="shared" ca="1" si="1"/>
        <v>1933.3333333333333</v>
      </c>
      <c r="M8" s="287">
        <f t="shared" ca="1" si="1"/>
        <v>2400</v>
      </c>
      <c r="N8" s="287">
        <f t="shared" ca="1" si="1"/>
        <v>1758.3333333333333</v>
      </c>
      <c r="O8" s="7">
        <f t="shared" ca="1" si="1"/>
        <v>2600</v>
      </c>
      <c r="P8" s="7">
        <f t="shared" ca="1" si="1"/>
        <v>2900</v>
      </c>
      <c r="Q8" s="7">
        <f t="shared" ca="1" si="1"/>
        <v>3200</v>
      </c>
      <c r="U8" s="10"/>
    </row>
    <row r="9" spans="1:21" x14ac:dyDescent="0.2">
      <c r="A9" s="6" t="s">
        <v>55</v>
      </c>
      <c r="B9" s="6"/>
      <c r="C9" s="6"/>
      <c r="D9" s="6"/>
      <c r="E9" s="288">
        <f t="shared" ref="E9:Q9" ca="1" si="2">+E121</f>
        <v>0</v>
      </c>
      <c r="F9" s="288">
        <f t="shared" ca="1" si="2"/>
        <v>10</v>
      </c>
      <c r="G9" s="288">
        <f t="shared" ca="1" si="2"/>
        <v>90</v>
      </c>
      <c r="H9" s="288">
        <f t="shared" ca="1" si="2"/>
        <v>200</v>
      </c>
      <c r="I9" s="288">
        <f t="shared" ca="1" si="2"/>
        <v>80.909090909090907</v>
      </c>
      <c r="J9" s="288">
        <f t="shared" ca="1" si="2"/>
        <v>400</v>
      </c>
      <c r="K9" s="288">
        <f t="shared" ca="1" si="2"/>
        <v>666.66666666666663</v>
      </c>
      <c r="L9" s="288">
        <f t="shared" ca="1" si="2"/>
        <v>700</v>
      </c>
      <c r="M9" s="288">
        <f t="shared" ca="1" si="2"/>
        <v>700</v>
      </c>
      <c r="N9" s="288">
        <f t="shared" ca="1" si="2"/>
        <v>616.66666666666663</v>
      </c>
      <c r="O9" s="8">
        <f t="shared" ca="1" si="2"/>
        <v>925</v>
      </c>
      <c r="P9" s="8">
        <f t="shared" ca="1" si="2"/>
        <v>1375</v>
      </c>
      <c r="Q9" s="8">
        <f t="shared" ca="1" si="2"/>
        <v>2175</v>
      </c>
      <c r="U9" s="10"/>
    </row>
    <row r="10" spans="1:21" x14ac:dyDescent="0.2">
      <c r="A10" s="289" t="s">
        <v>209</v>
      </c>
      <c r="B10" s="289"/>
      <c r="C10" s="289"/>
      <c r="D10" s="289"/>
      <c r="E10" s="287">
        <f ca="1">SUM(E8:E9)</f>
        <v>17.666666666666668</v>
      </c>
      <c r="F10" s="287">
        <f ca="1">SUM(F8:F9)</f>
        <v>70</v>
      </c>
      <c r="G10" s="287">
        <f ca="1">SUM(G8:G9)</f>
        <v>323.33333333333337</v>
      </c>
      <c r="H10" s="287">
        <f ca="1">SUM(H8:H9)</f>
        <v>1000</v>
      </c>
      <c r="I10" s="287">
        <f ca="1">SUM(I8:I9)</f>
        <v>358.65909090909088</v>
      </c>
      <c r="J10" s="287">
        <f t="shared" ref="J10:Q10" ca="1" si="3">SUM(J8:J9)</f>
        <v>1600</v>
      </c>
      <c r="K10" s="287">
        <f t="shared" ca="1" si="3"/>
        <v>2166.6666666666665</v>
      </c>
      <c r="L10" s="287">
        <f t="shared" ca="1" si="3"/>
        <v>2633.333333333333</v>
      </c>
      <c r="M10" s="287">
        <f t="shared" ca="1" si="3"/>
        <v>3100</v>
      </c>
      <c r="N10" s="287">
        <f t="shared" ca="1" si="3"/>
        <v>2375</v>
      </c>
      <c r="O10" s="7">
        <f t="shared" ca="1" si="3"/>
        <v>3525</v>
      </c>
      <c r="P10" s="7">
        <f t="shared" ca="1" si="3"/>
        <v>4275</v>
      </c>
      <c r="Q10" s="7">
        <f t="shared" ca="1" si="3"/>
        <v>5375</v>
      </c>
      <c r="U10" s="10"/>
    </row>
    <row r="11" spans="1:21" s="289" customFormat="1" x14ac:dyDescent="0.2">
      <c r="U11" s="317"/>
    </row>
    <row r="12" spans="1:21" x14ac:dyDescent="0.2">
      <c r="A12" s="1" t="s">
        <v>200</v>
      </c>
      <c r="E12" s="310">
        <f t="shared" ref="E12:Q12" ca="1" si="4">+E132</f>
        <v>17.924528301886792</v>
      </c>
      <c r="F12" s="310">
        <f t="shared" ca="1" si="4"/>
        <v>23.888888888888889</v>
      </c>
      <c r="G12" s="310">
        <f t="shared" ca="1" si="4"/>
        <v>24.999999999999996</v>
      </c>
      <c r="H12" s="310">
        <f t="shared" ca="1" si="4"/>
        <v>25</v>
      </c>
      <c r="I12" s="310">
        <f t="shared" ca="1" si="4"/>
        <v>24.827482748274825</v>
      </c>
      <c r="J12" s="310">
        <f t="shared" ca="1" si="4"/>
        <v>25</v>
      </c>
      <c r="K12" s="310">
        <f t="shared" ca="1" si="4"/>
        <v>25</v>
      </c>
      <c r="L12" s="310">
        <f t="shared" ca="1" si="4"/>
        <v>25</v>
      </c>
      <c r="M12" s="310">
        <f t="shared" ca="1" si="4"/>
        <v>25</v>
      </c>
      <c r="N12" s="310">
        <f t="shared" ca="1" si="4"/>
        <v>25</v>
      </c>
      <c r="O12" s="290">
        <f t="shared" ca="1" si="4"/>
        <v>25</v>
      </c>
      <c r="P12" s="290">
        <f t="shared" ca="1" si="4"/>
        <v>25</v>
      </c>
      <c r="Q12" s="290">
        <f t="shared" ca="1" si="4"/>
        <v>25</v>
      </c>
      <c r="U12" s="10"/>
    </row>
    <row r="13" spans="1:21" x14ac:dyDescent="0.2">
      <c r="A13" s="1" t="s">
        <v>201</v>
      </c>
      <c r="E13" s="310">
        <f t="shared" ref="E13:Q13" ca="1" si="5">+E138</f>
        <v>0</v>
      </c>
      <c r="F13" s="310">
        <f t="shared" ca="1" si="5"/>
        <v>13.333333333333334</v>
      </c>
      <c r="G13" s="310">
        <f t="shared" ca="1" si="5"/>
        <v>20</v>
      </c>
      <c r="H13" s="310">
        <f t="shared" ca="1" si="5"/>
        <v>25</v>
      </c>
      <c r="I13" s="310">
        <f t="shared" ca="1" si="5"/>
        <v>21.423220973782772</v>
      </c>
      <c r="J13" s="310">
        <f t="shared" ca="1" si="5"/>
        <v>25</v>
      </c>
      <c r="K13" s="310">
        <f t="shared" ca="1" si="5"/>
        <v>25</v>
      </c>
      <c r="L13" s="310">
        <f t="shared" ca="1" si="5"/>
        <v>25</v>
      </c>
      <c r="M13" s="310">
        <f t="shared" ca="1" si="5"/>
        <v>25</v>
      </c>
      <c r="N13" s="310">
        <f t="shared" ca="1" si="5"/>
        <v>25</v>
      </c>
      <c r="O13" s="290">
        <f t="shared" ca="1" si="5"/>
        <v>25</v>
      </c>
      <c r="P13" s="290">
        <f t="shared" ca="1" si="5"/>
        <v>25</v>
      </c>
      <c r="Q13" s="290">
        <f t="shared" ca="1" si="5"/>
        <v>25</v>
      </c>
      <c r="U13" s="10"/>
    </row>
    <row r="14" spans="1:21" s="289" customFormat="1" x14ac:dyDescent="0.2">
      <c r="I14" s="310"/>
      <c r="J14" s="310"/>
      <c r="K14" s="310"/>
      <c r="L14" s="310"/>
      <c r="M14" s="310"/>
      <c r="N14" s="310"/>
      <c r="O14" s="310"/>
      <c r="P14" s="310"/>
      <c r="Q14" s="310"/>
      <c r="U14" s="317"/>
    </row>
    <row r="15" spans="1:21" x14ac:dyDescent="0.2">
      <c r="A15" s="289" t="str">
        <f>+A131</f>
        <v>Walgreens -Rx / Day / Location</v>
      </c>
      <c r="B15" s="289"/>
      <c r="C15" s="289"/>
      <c r="E15" s="287">
        <f t="shared" ref="E15:H16" ca="1" si="6">+E8*E12</f>
        <v>316.66666666666669</v>
      </c>
      <c r="F15" s="287">
        <f t="shared" ca="1" si="6"/>
        <v>1433.3333333333333</v>
      </c>
      <c r="G15" s="287">
        <f t="shared" ca="1" si="6"/>
        <v>5833.333333333333</v>
      </c>
      <c r="H15" s="287">
        <f t="shared" ca="1" si="6"/>
        <v>20000</v>
      </c>
      <c r="I15" s="287">
        <f ca="1">+AVERAGE(E15:H15)</f>
        <v>6895.833333333333</v>
      </c>
      <c r="J15" s="287">
        <f t="shared" ref="J15:M16" ca="1" si="7">+J8*J12</f>
        <v>30000</v>
      </c>
      <c r="K15" s="287">
        <f t="shared" ca="1" si="7"/>
        <v>37500</v>
      </c>
      <c r="L15" s="287">
        <f t="shared" ca="1" si="7"/>
        <v>48333.333333333328</v>
      </c>
      <c r="M15" s="287">
        <f t="shared" ca="1" si="7"/>
        <v>60000</v>
      </c>
      <c r="N15" s="287">
        <f ca="1">+AVERAGE(J15:M15)</f>
        <v>43958.333333333328</v>
      </c>
      <c r="O15" s="7">
        <f t="shared" ref="O15:Q16" ca="1" si="8">+O8*O12</f>
        <v>65000</v>
      </c>
      <c r="P15" s="7">
        <f t="shared" ca="1" si="8"/>
        <v>72500</v>
      </c>
      <c r="Q15" s="7">
        <f t="shared" ca="1" si="8"/>
        <v>80000</v>
      </c>
      <c r="U15" s="10"/>
    </row>
    <row r="16" spans="1:21" x14ac:dyDescent="0.2">
      <c r="A16" s="289" t="str">
        <f>+A137</f>
        <v>Other Retail -Rx / Day / Location</v>
      </c>
      <c r="B16" s="289"/>
      <c r="C16" s="289"/>
      <c r="E16" s="287">
        <f t="shared" ca="1" si="6"/>
        <v>0</v>
      </c>
      <c r="F16" s="287">
        <f t="shared" ca="1" si="6"/>
        <v>133.33333333333334</v>
      </c>
      <c r="G16" s="287">
        <f t="shared" ca="1" si="6"/>
        <v>1800</v>
      </c>
      <c r="H16" s="287">
        <f t="shared" ca="1" si="6"/>
        <v>5000</v>
      </c>
      <c r="I16" s="287">
        <f ca="1">+AVERAGE(E16:H16)</f>
        <v>1733.3333333333333</v>
      </c>
      <c r="J16" s="287">
        <f t="shared" ca="1" si="7"/>
        <v>10000</v>
      </c>
      <c r="K16" s="287">
        <f t="shared" ca="1" si="7"/>
        <v>16666.666666666664</v>
      </c>
      <c r="L16" s="287">
        <f t="shared" ca="1" si="7"/>
        <v>17500</v>
      </c>
      <c r="M16" s="287">
        <f t="shared" ca="1" si="7"/>
        <v>17500</v>
      </c>
      <c r="N16" s="287">
        <f ca="1">+AVERAGE(J16:M16)</f>
        <v>15416.666666666666</v>
      </c>
      <c r="O16" s="7">
        <f t="shared" ca="1" si="8"/>
        <v>23125</v>
      </c>
      <c r="P16" s="7">
        <f t="shared" ca="1" si="8"/>
        <v>34375</v>
      </c>
      <c r="Q16" s="7">
        <f t="shared" ca="1" si="8"/>
        <v>54375</v>
      </c>
      <c r="U16" s="10"/>
    </row>
    <row r="17" spans="1:21" x14ac:dyDescent="0.2">
      <c r="A17" s="1" t="s">
        <v>221</v>
      </c>
      <c r="E17" s="287">
        <f ca="1">SUM(E15:E16)</f>
        <v>316.66666666666669</v>
      </c>
      <c r="F17" s="287">
        <f ca="1">SUM(F15:F16)</f>
        <v>1566.6666666666665</v>
      </c>
      <c r="G17" s="287">
        <f ca="1">SUM(G15:G16)</f>
        <v>7633.333333333333</v>
      </c>
      <c r="H17" s="287">
        <f ca="1">SUM(H15:H16)</f>
        <v>25000</v>
      </c>
      <c r="I17" s="287">
        <f ca="1">SUM(I15:I16)</f>
        <v>8629.1666666666661</v>
      </c>
      <c r="J17" s="287">
        <f t="shared" ref="J17:Q17" ca="1" si="9">SUM(J15:J16)</f>
        <v>40000</v>
      </c>
      <c r="K17" s="287">
        <f t="shared" ca="1" si="9"/>
        <v>54166.666666666664</v>
      </c>
      <c r="L17" s="287">
        <f t="shared" ca="1" si="9"/>
        <v>65833.333333333328</v>
      </c>
      <c r="M17" s="287">
        <f t="shared" ca="1" si="9"/>
        <v>77500</v>
      </c>
      <c r="N17" s="287">
        <f t="shared" ca="1" si="9"/>
        <v>59374.999999999993</v>
      </c>
      <c r="O17" s="7">
        <f t="shared" ca="1" si="9"/>
        <v>88125</v>
      </c>
      <c r="P17" s="7">
        <f t="shared" ca="1" si="9"/>
        <v>106875</v>
      </c>
      <c r="Q17" s="7">
        <f t="shared" ca="1" si="9"/>
        <v>134375</v>
      </c>
      <c r="U17" s="10"/>
    </row>
    <row r="18" spans="1:21" s="289" customFormat="1" x14ac:dyDescent="0.2">
      <c r="U18" s="317"/>
    </row>
    <row r="19" spans="1:21" s="289" customFormat="1" x14ac:dyDescent="0.2">
      <c r="A19" s="289" t="s">
        <v>63</v>
      </c>
      <c r="E19" s="287">
        <f ca="1">+E17*3*30</f>
        <v>28500</v>
      </c>
      <c r="F19" s="287">
        <f t="shared" ref="F19:H19" ca="1" si="10">+F17*3*30</f>
        <v>141000</v>
      </c>
      <c r="G19" s="287">
        <f t="shared" ca="1" si="10"/>
        <v>687000</v>
      </c>
      <c r="H19" s="287">
        <f t="shared" ca="1" si="10"/>
        <v>2250000</v>
      </c>
      <c r="I19" s="287">
        <f ca="1">+SUM(E19:H19)</f>
        <v>3106500</v>
      </c>
      <c r="J19" s="287">
        <f ca="1">+J17*3*30</f>
        <v>3600000</v>
      </c>
      <c r="K19" s="287">
        <f t="shared" ref="K19:M19" ca="1" si="11">+K17*3*30</f>
        <v>4875000</v>
      </c>
      <c r="L19" s="287">
        <f t="shared" ca="1" si="11"/>
        <v>5925000</v>
      </c>
      <c r="M19" s="287">
        <f t="shared" ca="1" si="11"/>
        <v>6975000</v>
      </c>
      <c r="N19" s="287">
        <f ca="1">+SUM(J19:M19)</f>
        <v>21375000</v>
      </c>
      <c r="O19" s="287">
        <f t="shared" ref="O19:Q19" ca="1" si="12">+O17*12*30</f>
        <v>31725000</v>
      </c>
      <c r="P19" s="287">
        <f t="shared" ca="1" si="12"/>
        <v>38475000</v>
      </c>
      <c r="Q19" s="287">
        <f t="shared" ca="1" si="12"/>
        <v>48375000</v>
      </c>
      <c r="U19" s="317"/>
    </row>
    <row r="20" spans="1:21" x14ac:dyDescent="0.2">
      <c r="A20" s="1" t="s">
        <v>208</v>
      </c>
      <c r="E20" s="425">
        <f>+E107</f>
        <v>35</v>
      </c>
      <c r="F20" s="425">
        <f>+F107</f>
        <v>35</v>
      </c>
      <c r="G20" s="425">
        <f>+G107</f>
        <v>35</v>
      </c>
      <c r="H20" s="425">
        <f>+H107</f>
        <v>35</v>
      </c>
      <c r="I20" s="425">
        <f>+I107</f>
        <v>35</v>
      </c>
      <c r="J20" s="425">
        <f t="shared" ref="J20:Q20" si="13">+J107</f>
        <v>35</v>
      </c>
      <c r="K20" s="425">
        <f t="shared" si="13"/>
        <v>35</v>
      </c>
      <c r="L20" s="425">
        <f t="shared" si="13"/>
        <v>35</v>
      </c>
      <c r="M20" s="425">
        <f t="shared" si="13"/>
        <v>35</v>
      </c>
      <c r="N20" s="425">
        <f t="shared" si="13"/>
        <v>35</v>
      </c>
      <c r="O20" s="291">
        <f t="shared" si="13"/>
        <v>35</v>
      </c>
      <c r="P20" s="291">
        <f t="shared" si="13"/>
        <v>35</v>
      </c>
      <c r="Q20" s="291">
        <f t="shared" si="13"/>
        <v>35</v>
      </c>
      <c r="U20" s="10"/>
    </row>
    <row r="21" spans="1:21" s="5" customFormat="1" x14ac:dyDescent="0.2">
      <c r="A21" s="5" t="s">
        <v>202</v>
      </c>
      <c r="E21" s="426">
        <f ca="1">+E20*E19</f>
        <v>997500</v>
      </c>
      <c r="F21" s="426">
        <f ca="1">+F20*F19</f>
        <v>4935000</v>
      </c>
      <c r="G21" s="426">
        <f ca="1">+G20*G19</f>
        <v>24045000</v>
      </c>
      <c r="H21" s="426">
        <f ca="1">+H20*H19</f>
        <v>78750000</v>
      </c>
      <c r="I21" s="426">
        <f ca="1">+I20*I19</f>
        <v>108727500</v>
      </c>
      <c r="J21" s="426">
        <f t="shared" ref="J21:Q21" ca="1" si="14">+J20*J19</f>
        <v>126000000</v>
      </c>
      <c r="K21" s="426">
        <f t="shared" ca="1" si="14"/>
        <v>170625000</v>
      </c>
      <c r="L21" s="426">
        <f t="shared" ca="1" si="14"/>
        <v>207375000</v>
      </c>
      <c r="M21" s="426">
        <f t="shared" ca="1" si="14"/>
        <v>244125000</v>
      </c>
      <c r="N21" s="426">
        <f t="shared" ca="1" si="14"/>
        <v>748125000</v>
      </c>
      <c r="O21" s="292">
        <f t="shared" ca="1" si="14"/>
        <v>1110375000</v>
      </c>
      <c r="P21" s="292">
        <f t="shared" ca="1" si="14"/>
        <v>1346625000</v>
      </c>
      <c r="Q21" s="292">
        <f t="shared" ca="1" si="14"/>
        <v>1693125000</v>
      </c>
    </row>
    <row r="22" spans="1:21" x14ac:dyDescent="0.2">
      <c r="A22" s="293" t="s">
        <v>210</v>
      </c>
      <c r="E22" s="289"/>
      <c r="F22" s="289"/>
      <c r="G22" s="289"/>
      <c r="H22" s="289"/>
      <c r="I22" s="289"/>
      <c r="J22" s="345">
        <f ca="1">+J21/E21-1</f>
        <v>125.31578947368421</v>
      </c>
      <c r="K22" s="345">
        <f ca="1">+K21/F21-1</f>
        <v>33.574468085106382</v>
      </c>
      <c r="L22" s="345">
        <f ca="1">+L21/G21-1</f>
        <v>7.6244541484716155</v>
      </c>
      <c r="M22" s="345">
        <f ca="1">+M21/H21-1</f>
        <v>2.1</v>
      </c>
      <c r="N22" s="345">
        <f ca="1">+N21/I21-1</f>
        <v>5.8807339449541285</v>
      </c>
      <c r="O22" s="294">
        <f t="shared" ref="O22:Q22" ca="1" si="15">+O21/N21-1</f>
        <v>0.48421052631578942</v>
      </c>
      <c r="P22" s="294">
        <f t="shared" ca="1" si="15"/>
        <v>0.2127659574468086</v>
      </c>
      <c r="Q22" s="294">
        <f t="shared" ca="1" si="15"/>
        <v>0.25730994152046782</v>
      </c>
    </row>
    <row r="23" spans="1:21" s="289" customFormat="1" x14ac:dyDescent="0.2">
      <c r="A23" s="299"/>
      <c r="J23" s="345"/>
      <c r="K23" s="345"/>
      <c r="L23" s="345"/>
      <c r="M23" s="345"/>
      <c r="N23" s="345"/>
      <c r="O23" s="345"/>
      <c r="P23" s="345"/>
      <c r="Q23" s="345"/>
    </row>
    <row r="24" spans="1:21" x14ac:dyDescent="0.2">
      <c r="A24" s="1" t="s">
        <v>66</v>
      </c>
      <c r="E24" s="287">
        <f ca="1">+E146</f>
        <v>13.333333333333334</v>
      </c>
      <c r="F24" s="287">
        <f ca="1">+F146</f>
        <v>120</v>
      </c>
      <c r="G24" s="287">
        <f ca="1">+G146</f>
        <v>433.33333333333331</v>
      </c>
      <c r="H24" s="287">
        <f ca="1">+H146</f>
        <v>1000</v>
      </c>
      <c r="I24" s="287">
        <f ca="1">+I146</f>
        <v>391.66666666666669</v>
      </c>
      <c r="J24" s="287">
        <f t="shared" ref="J24:Q24" ca="1" si="16">+J146</f>
        <v>1400</v>
      </c>
      <c r="K24" s="287">
        <f t="shared" ca="1" si="16"/>
        <v>1700</v>
      </c>
      <c r="L24" s="287">
        <f t="shared" ca="1" si="16"/>
        <v>2000</v>
      </c>
      <c r="M24" s="287">
        <f t="shared" ca="1" si="16"/>
        <v>2300</v>
      </c>
      <c r="N24" s="287">
        <f t="shared" ca="1" si="16"/>
        <v>1850</v>
      </c>
      <c r="O24" s="7">
        <f t="shared" ca="1" si="16"/>
        <v>3600</v>
      </c>
      <c r="P24" s="7">
        <f t="shared" ca="1" si="16"/>
        <v>4800</v>
      </c>
      <c r="Q24" s="7">
        <f t="shared" ca="1" si="16"/>
        <v>5600</v>
      </c>
    </row>
    <row r="25" spans="1:21" x14ac:dyDescent="0.2">
      <c r="A25" s="1" t="s">
        <v>222</v>
      </c>
      <c r="E25" s="287">
        <v>22</v>
      </c>
      <c r="F25" s="287">
        <v>22</v>
      </c>
      <c r="G25" s="287">
        <v>22</v>
      </c>
      <c r="H25" s="287">
        <v>22</v>
      </c>
      <c r="I25" s="287">
        <v>22</v>
      </c>
      <c r="J25" s="287">
        <v>22</v>
      </c>
      <c r="K25" s="287">
        <v>22</v>
      </c>
      <c r="L25" s="287">
        <v>22</v>
      </c>
      <c r="M25" s="287">
        <v>22</v>
      </c>
      <c r="N25" s="287">
        <v>22</v>
      </c>
      <c r="O25" s="7">
        <v>22</v>
      </c>
      <c r="P25" s="7">
        <v>22</v>
      </c>
      <c r="Q25" s="7">
        <v>22</v>
      </c>
    </row>
    <row r="26" spans="1:21" x14ac:dyDescent="0.2">
      <c r="A26" s="1" t="s">
        <v>223</v>
      </c>
      <c r="E26" s="287">
        <f ca="1">E152</f>
        <v>20</v>
      </c>
      <c r="F26" s="287">
        <f ca="1">F152</f>
        <v>20</v>
      </c>
      <c r="G26" s="287">
        <f ca="1">G152</f>
        <v>20</v>
      </c>
      <c r="H26" s="287">
        <f ca="1">H152</f>
        <v>20</v>
      </c>
      <c r="I26" s="287">
        <f ca="1">I152</f>
        <v>20</v>
      </c>
      <c r="J26" s="287">
        <f t="shared" ref="J26:Q26" ca="1" si="17">J152</f>
        <v>20</v>
      </c>
      <c r="K26" s="287">
        <f t="shared" ca="1" si="17"/>
        <v>20</v>
      </c>
      <c r="L26" s="287">
        <f t="shared" ca="1" si="17"/>
        <v>20</v>
      </c>
      <c r="M26" s="287">
        <f t="shared" ca="1" si="17"/>
        <v>20</v>
      </c>
      <c r="N26" s="287">
        <f t="shared" ca="1" si="17"/>
        <v>20</v>
      </c>
      <c r="O26" s="7">
        <f t="shared" ca="1" si="17"/>
        <v>20</v>
      </c>
      <c r="P26" s="7">
        <f t="shared" ca="1" si="17"/>
        <v>20</v>
      </c>
      <c r="Q26" s="7">
        <f t="shared" ca="1" si="17"/>
        <v>20</v>
      </c>
    </row>
    <row r="27" spans="1:21" x14ac:dyDescent="0.2">
      <c r="A27" s="1" t="s">
        <v>197</v>
      </c>
      <c r="E27" s="287">
        <f ca="1">E24*E25*E26*3</f>
        <v>17600.000000000004</v>
      </c>
      <c r="F27" s="287">
        <f t="shared" ref="F27:H27" ca="1" si="18">F24*F25*F26*3</f>
        <v>158400</v>
      </c>
      <c r="G27" s="287">
        <f t="shared" ca="1" si="18"/>
        <v>571999.99999999988</v>
      </c>
      <c r="H27" s="287">
        <f t="shared" ca="1" si="18"/>
        <v>1320000</v>
      </c>
      <c r="I27" s="287">
        <f ca="1">I24*I25*I26*12</f>
        <v>2068000.0000000005</v>
      </c>
      <c r="J27" s="287">
        <f ca="1">J24*J25*J26*3</f>
        <v>1848000</v>
      </c>
      <c r="K27" s="287">
        <f t="shared" ref="K27:M27" ca="1" si="19">K24*K25*K26*3</f>
        <v>2244000</v>
      </c>
      <c r="L27" s="287">
        <f t="shared" ca="1" si="19"/>
        <v>2640000</v>
      </c>
      <c r="M27" s="287">
        <f t="shared" ca="1" si="19"/>
        <v>3036000</v>
      </c>
      <c r="N27" s="287">
        <f t="shared" ref="N27:Q27" ca="1" si="20">N24*N25*N26*12</f>
        <v>9768000</v>
      </c>
      <c r="O27" s="7">
        <f t="shared" ca="1" si="20"/>
        <v>19008000</v>
      </c>
      <c r="P27" s="7">
        <f t="shared" ca="1" si="20"/>
        <v>25344000</v>
      </c>
      <c r="Q27" s="7">
        <f t="shared" ca="1" si="20"/>
        <v>29568000</v>
      </c>
    </row>
    <row r="28" spans="1:21" x14ac:dyDescent="0.2">
      <c r="A28" s="1" t="s">
        <v>208</v>
      </c>
      <c r="E28" s="425">
        <f>+E108</f>
        <v>35</v>
      </c>
      <c r="F28" s="425">
        <f>+F108</f>
        <v>35</v>
      </c>
      <c r="G28" s="425">
        <f>+G108</f>
        <v>35</v>
      </c>
      <c r="H28" s="425">
        <f>+H108</f>
        <v>35</v>
      </c>
      <c r="I28" s="425">
        <f>+I108</f>
        <v>35</v>
      </c>
      <c r="J28" s="425">
        <f t="shared" ref="J28:Q28" si="21">+J108</f>
        <v>35</v>
      </c>
      <c r="K28" s="425">
        <f t="shared" si="21"/>
        <v>35</v>
      </c>
      <c r="L28" s="425">
        <f t="shared" si="21"/>
        <v>35</v>
      </c>
      <c r="M28" s="425">
        <f t="shared" si="21"/>
        <v>35</v>
      </c>
      <c r="N28" s="425">
        <f t="shared" si="21"/>
        <v>35</v>
      </c>
      <c r="O28" s="291">
        <f t="shared" si="21"/>
        <v>35</v>
      </c>
      <c r="P28" s="291">
        <f t="shared" si="21"/>
        <v>35</v>
      </c>
      <c r="Q28" s="291">
        <f t="shared" si="21"/>
        <v>35</v>
      </c>
    </row>
    <row r="29" spans="1:21" s="5" customFormat="1" x14ac:dyDescent="0.2">
      <c r="A29" s="5" t="s">
        <v>203</v>
      </c>
      <c r="E29" s="426">
        <f ca="1">+E28*E27</f>
        <v>616000.00000000012</v>
      </c>
      <c r="F29" s="426">
        <f ca="1">+F28*F27</f>
        <v>5544000</v>
      </c>
      <c r="G29" s="426">
        <f ca="1">+G28*G27</f>
        <v>20019999.999999996</v>
      </c>
      <c r="H29" s="426">
        <f ca="1">+H28*H27</f>
        <v>46200000</v>
      </c>
      <c r="I29" s="426">
        <f ca="1">+I28*I27</f>
        <v>72380000.000000015</v>
      </c>
      <c r="J29" s="426">
        <f t="shared" ref="J29:Q29" ca="1" si="22">+J28*J27</f>
        <v>64680000</v>
      </c>
      <c r="K29" s="426">
        <f t="shared" ca="1" si="22"/>
        <v>78540000</v>
      </c>
      <c r="L29" s="426">
        <f t="shared" ca="1" si="22"/>
        <v>92400000</v>
      </c>
      <c r="M29" s="426">
        <f t="shared" ca="1" si="22"/>
        <v>106260000</v>
      </c>
      <c r="N29" s="426">
        <f t="shared" ca="1" si="22"/>
        <v>341880000</v>
      </c>
      <c r="O29" s="292">
        <f t="shared" ca="1" si="22"/>
        <v>665280000</v>
      </c>
      <c r="P29" s="292">
        <f t="shared" ca="1" si="22"/>
        <v>887040000</v>
      </c>
      <c r="Q29" s="292">
        <f t="shared" ca="1" si="22"/>
        <v>1034880000</v>
      </c>
    </row>
    <row r="30" spans="1:21" s="289" customFormat="1" x14ac:dyDescent="0.2">
      <c r="A30" s="299" t="s">
        <v>210</v>
      </c>
      <c r="J30" s="345">
        <f ca="1">+J29/E29-1</f>
        <v>103.99999999999999</v>
      </c>
      <c r="K30" s="345">
        <f ca="1">+K29/F29-1</f>
        <v>13.166666666666666</v>
      </c>
      <c r="L30" s="345">
        <f ca="1">+L29/G29-1</f>
        <v>3.6153846153846159</v>
      </c>
      <c r="M30" s="345">
        <f ca="1">+M29/H29-1</f>
        <v>1.2999999999999998</v>
      </c>
      <c r="N30" s="345">
        <f ca="1">+N29/I29-1</f>
        <v>3.7234042553191475</v>
      </c>
      <c r="O30" s="345">
        <f t="shared" ref="O30:Q30" ca="1" si="23">+O29/N29-1</f>
        <v>0.94594594594594605</v>
      </c>
      <c r="P30" s="345">
        <f t="shared" ca="1" si="23"/>
        <v>0.33333333333333326</v>
      </c>
      <c r="Q30" s="345">
        <f t="shared" ca="1" si="23"/>
        <v>0.16666666666666674</v>
      </c>
    </row>
    <row r="31" spans="1:21" s="289" customFormat="1" x14ac:dyDescent="0.2">
      <c r="A31" s="299"/>
      <c r="J31" s="345"/>
      <c r="K31" s="345"/>
      <c r="L31" s="345"/>
      <c r="M31" s="345"/>
      <c r="N31" s="345"/>
      <c r="O31" s="345"/>
      <c r="P31" s="345"/>
      <c r="Q31" s="345"/>
    </row>
    <row r="32" spans="1:21" x14ac:dyDescent="0.2">
      <c r="A32" s="1" t="s">
        <v>205</v>
      </c>
      <c r="E32" s="310">
        <f ca="1">+E160</f>
        <v>0</v>
      </c>
      <c r="F32" s="310">
        <f ca="1">+F160</f>
        <v>26.666666666666668</v>
      </c>
      <c r="G32" s="310">
        <f ca="1">+G160</f>
        <v>90</v>
      </c>
      <c r="H32" s="310">
        <f ca="1">+H160</f>
        <v>150</v>
      </c>
      <c r="I32" s="310">
        <f ca="1">+I160</f>
        <v>66.666666666666671</v>
      </c>
      <c r="J32" s="310">
        <f t="shared" ref="J32:Q32" ca="1" si="24">+J160</f>
        <v>210</v>
      </c>
      <c r="K32" s="310">
        <f t="shared" ca="1" si="24"/>
        <v>270</v>
      </c>
      <c r="L32" s="310">
        <f t="shared" ca="1" si="24"/>
        <v>330</v>
      </c>
      <c r="M32" s="310">
        <f t="shared" ca="1" si="24"/>
        <v>390</v>
      </c>
      <c r="N32" s="310">
        <f t="shared" ca="1" si="24"/>
        <v>300</v>
      </c>
      <c r="O32" s="310">
        <f t="shared" ca="1" si="24"/>
        <v>460</v>
      </c>
      <c r="P32" s="310">
        <f t="shared" ca="1" si="24"/>
        <v>510</v>
      </c>
      <c r="Q32" s="310">
        <f t="shared" ca="1" si="24"/>
        <v>560</v>
      </c>
    </row>
    <row r="33" spans="1:17" x14ac:dyDescent="0.2">
      <c r="A33" s="1" t="s">
        <v>222</v>
      </c>
      <c r="E33" s="289">
        <v>25</v>
      </c>
      <c r="F33" s="289">
        <v>25</v>
      </c>
      <c r="G33" s="289">
        <v>25</v>
      </c>
      <c r="H33" s="289">
        <v>25</v>
      </c>
      <c r="I33" s="289">
        <v>25</v>
      </c>
      <c r="J33" s="289">
        <v>25</v>
      </c>
      <c r="K33" s="289">
        <v>25</v>
      </c>
      <c r="L33" s="289">
        <v>25</v>
      </c>
      <c r="M33" s="289">
        <v>25</v>
      </c>
      <c r="N33" s="289">
        <v>25</v>
      </c>
      <c r="O33" s="289">
        <v>25</v>
      </c>
      <c r="P33" s="289">
        <v>25</v>
      </c>
      <c r="Q33" s="289">
        <v>25</v>
      </c>
    </row>
    <row r="34" spans="1:17" x14ac:dyDescent="0.2">
      <c r="A34" s="1" t="s">
        <v>223</v>
      </c>
      <c r="E34" s="289">
        <f ca="1">E166</f>
        <v>50</v>
      </c>
      <c r="F34" s="289">
        <f ca="1">F166</f>
        <v>50</v>
      </c>
      <c r="G34" s="289">
        <f ca="1">G166</f>
        <v>50</v>
      </c>
      <c r="H34" s="289">
        <f ca="1">H166</f>
        <v>50</v>
      </c>
      <c r="I34" s="289">
        <f ca="1">I166</f>
        <v>50</v>
      </c>
      <c r="J34" s="289">
        <f t="shared" ref="J34:Q34" ca="1" si="25">J166</f>
        <v>50</v>
      </c>
      <c r="K34" s="289">
        <f t="shared" ca="1" si="25"/>
        <v>50</v>
      </c>
      <c r="L34" s="289">
        <f t="shared" ca="1" si="25"/>
        <v>50</v>
      </c>
      <c r="M34" s="289">
        <f t="shared" ca="1" si="25"/>
        <v>50</v>
      </c>
      <c r="N34" s="289">
        <f t="shared" ca="1" si="25"/>
        <v>50</v>
      </c>
      <c r="O34" s="289">
        <f t="shared" ca="1" si="25"/>
        <v>50</v>
      </c>
      <c r="P34" s="289">
        <f t="shared" ca="1" si="25"/>
        <v>50</v>
      </c>
      <c r="Q34" s="289">
        <f t="shared" ca="1" si="25"/>
        <v>50</v>
      </c>
    </row>
    <row r="35" spans="1:17" x14ac:dyDescent="0.2">
      <c r="A35" s="1" t="s">
        <v>197</v>
      </c>
      <c r="E35" s="287">
        <f ca="1">E32*E34*E33*3</f>
        <v>0</v>
      </c>
      <c r="F35" s="287">
        <f t="shared" ref="F35:H35" ca="1" si="26">F32*F34*F33*3</f>
        <v>100000</v>
      </c>
      <c r="G35" s="287">
        <f t="shared" ca="1" si="26"/>
        <v>337500</v>
      </c>
      <c r="H35" s="287">
        <f t="shared" ca="1" si="26"/>
        <v>562500</v>
      </c>
      <c r="I35" s="287">
        <f ca="1">I32*I34*I33*12</f>
        <v>1000000.0000000001</v>
      </c>
      <c r="J35" s="287">
        <f ca="1">J32*J34*J33*3</f>
        <v>787500</v>
      </c>
      <c r="K35" s="287">
        <f t="shared" ref="K35:M35" ca="1" si="27">K32*K34*K33*3</f>
        <v>1012500</v>
      </c>
      <c r="L35" s="287">
        <f t="shared" ca="1" si="27"/>
        <v>1237500</v>
      </c>
      <c r="M35" s="287">
        <f t="shared" ca="1" si="27"/>
        <v>1462500</v>
      </c>
      <c r="N35" s="287">
        <f t="shared" ref="N35:Q35" ca="1" si="28">N32*N34*N33*12</f>
        <v>4500000</v>
      </c>
      <c r="O35" s="287">
        <f t="shared" ca="1" si="28"/>
        <v>6900000</v>
      </c>
      <c r="P35" s="287">
        <f t="shared" ca="1" si="28"/>
        <v>7650000</v>
      </c>
      <c r="Q35" s="287">
        <f t="shared" ca="1" si="28"/>
        <v>8400000</v>
      </c>
    </row>
    <row r="36" spans="1:17" x14ac:dyDescent="0.2">
      <c r="A36" s="1" t="str">
        <f>+A28</f>
        <v>Revenue / Requisition</v>
      </c>
      <c r="E36" s="425">
        <f>+'Company Rev Model'!E109</f>
        <v>50</v>
      </c>
      <c r="F36" s="425">
        <f>+'Company Rev Model'!F109</f>
        <v>50</v>
      </c>
      <c r="G36" s="425">
        <f>+'Company Rev Model'!G109</f>
        <v>50</v>
      </c>
      <c r="H36" s="425">
        <f>+'Company Rev Model'!H109</f>
        <v>50</v>
      </c>
      <c r="I36" s="425">
        <f>+'Company Rev Model'!I109</f>
        <v>50</v>
      </c>
      <c r="J36" s="425">
        <f>+'Company Rev Model'!J109</f>
        <v>50</v>
      </c>
      <c r="K36" s="425">
        <f>+'Company Rev Model'!K109</f>
        <v>50</v>
      </c>
      <c r="L36" s="425">
        <f>+'Company Rev Model'!L109</f>
        <v>50</v>
      </c>
      <c r="M36" s="425">
        <f>+'Company Rev Model'!M109</f>
        <v>50</v>
      </c>
      <c r="N36" s="425">
        <f>+'Company Rev Model'!N109</f>
        <v>50</v>
      </c>
      <c r="O36" s="291">
        <f>+'Company Rev Model'!O109</f>
        <v>50</v>
      </c>
      <c r="P36" s="291">
        <f>+'Company Rev Model'!P109</f>
        <v>50</v>
      </c>
      <c r="Q36" s="291">
        <f>+'Company Rev Model'!Q109</f>
        <v>50</v>
      </c>
    </row>
    <row r="37" spans="1:17" x14ac:dyDescent="0.2">
      <c r="A37" s="5" t="s">
        <v>204</v>
      </c>
      <c r="E37" s="426">
        <f ca="1">+E36*E35</f>
        <v>0</v>
      </c>
      <c r="F37" s="426">
        <f ca="1">+F36*F35</f>
        <v>5000000</v>
      </c>
      <c r="G37" s="426">
        <f ca="1">+G36*G35</f>
        <v>16875000</v>
      </c>
      <c r="H37" s="426">
        <f ca="1">+H36*H35</f>
        <v>28125000</v>
      </c>
      <c r="I37" s="426">
        <f ca="1">+I36*I35</f>
        <v>50000000.000000007</v>
      </c>
      <c r="J37" s="426">
        <f t="shared" ref="J37:Q37" ca="1" si="29">+J36*J35</f>
        <v>39375000</v>
      </c>
      <c r="K37" s="426">
        <f t="shared" ca="1" si="29"/>
        <v>50625000</v>
      </c>
      <c r="L37" s="426">
        <f t="shared" ca="1" si="29"/>
        <v>61875000</v>
      </c>
      <c r="M37" s="426">
        <f t="shared" ca="1" si="29"/>
        <v>73125000</v>
      </c>
      <c r="N37" s="426">
        <f t="shared" ca="1" si="29"/>
        <v>225000000</v>
      </c>
      <c r="O37" s="292">
        <f t="shared" ca="1" si="29"/>
        <v>345000000</v>
      </c>
      <c r="P37" s="292">
        <f t="shared" ca="1" si="29"/>
        <v>382500000</v>
      </c>
      <c r="Q37" s="292">
        <f t="shared" ca="1" si="29"/>
        <v>420000000</v>
      </c>
    </row>
    <row r="38" spans="1:17" s="289" customFormat="1" x14ac:dyDescent="0.2">
      <c r="A38" s="299" t="s">
        <v>210</v>
      </c>
      <c r="J38" s="345" t="e">
        <f ca="1">+J37/E37-1</f>
        <v>#DIV/0!</v>
      </c>
      <c r="K38" s="345">
        <f ca="1">+K37/F37-1</f>
        <v>9.125</v>
      </c>
      <c r="L38" s="345">
        <f ca="1">+L37/G37-1</f>
        <v>2.6666666666666665</v>
      </c>
      <c r="M38" s="345">
        <f ca="1">+M37/H37-1</f>
        <v>1.6</v>
      </c>
      <c r="N38" s="345">
        <f ca="1">+N37/I37-1</f>
        <v>3.4999999999999991</v>
      </c>
      <c r="O38" s="345">
        <f t="shared" ref="O38:Q38" ca="1" si="30">+O37/N37-1</f>
        <v>0.53333333333333344</v>
      </c>
      <c r="P38" s="345">
        <f t="shared" ca="1" si="30"/>
        <v>0.10869565217391308</v>
      </c>
      <c r="Q38" s="345">
        <f t="shared" ca="1" si="30"/>
        <v>9.8039215686274606E-2</v>
      </c>
    </row>
    <row r="39" spans="1:17" s="289" customFormat="1" x14ac:dyDescent="0.2">
      <c r="A39" s="299"/>
      <c r="J39" s="345"/>
      <c r="K39" s="345"/>
      <c r="L39" s="345"/>
      <c r="M39" s="345"/>
      <c r="N39" s="345"/>
      <c r="O39" s="345"/>
      <c r="P39" s="345"/>
      <c r="Q39" s="345"/>
    </row>
    <row r="40" spans="1:17" x14ac:dyDescent="0.2">
      <c r="A40" s="1" t="s">
        <v>267</v>
      </c>
      <c r="E40" s="287">
        <f ca="1">+E174</f>
        <v>0</v>
      </c>
      <c r="F40" s="287">
        <f ca="1">+F174</f>
        <v>0</v>
      </c>
      <c r="G40" s="287">
        <f ca="1">+G174</f>
        <v>0</v>
      </c>
      <c r="H40" s="287">
        <f ca="1">+H174</f>
        <v>0</v>
      </c>
      <c r="I40" s="287">
        <f ca="1">+I174</f>
        <v>0</v>
      </c>
      <c r="J40" s="287">
        <f t="shared" ref="J40:Q40" ca="1" si="31">+J174</f>
        <v>0</v>
      </c>
      <c r="K40" s="287">
        <f t="shared" ca="1" si="31"/>
        <v>26.666666666666668</v>
      </c>
      <c r="L40" s="287">
        <f t="shared" ca="1" si="31"/>
        <v>90</v>
      </c>
      <c r="M40" s="287">
        <f t="shared" ca="1" si="31"/>
        <v>150</v>
      </c>
      <c r="N40" s="287">
        <f t="shared" ca="1" si="31"/>
        <v>66.666666666666671</v>
      </c>
      <c r="O40" s="287">
        <f t="shared" ca="1" si="31"/>
        <v>200</v>
      </c>
      <c r="P40" s="287">
        <f t="shared" ca="1" si="31"/>
        <v>230</v>
      </c>
      <c r="Q40" s="287">
        <f t="shared" ca="1" si="31"/>
        <v>260</v>
      </c>
    </row>
    <row r="41" spans="1:17" x14ac:dyDescent="0.2">
      <c r="A41" s="1" t="s">
        <v>222</v>
      </c>
      <c r="E41" s="287">
        <v>30</v>
      </c>
      <c r="F41" s="287">
        <v>30</v>
      </c>
      <c r="G41" s="287">
        <v>30</v>
      </c>
      <c r="H41" s="287">
        <v>30</v>
      </c>
      <c r="I41" s="287">
        <v>30</v>
      </c>
      <c r="J41" s="287">
        <v>30</v>
      </c>
      <c r="K41" s="287">
        <v>30</v>
      </c>
      <c r="L41" s="287">
        <v>30</v>
      </c>
      <c r="M41" s="287">
        <v>30</v>
      </c>
      <c r="N41" s="287">
        <v>30</v>
      </c>
      <c r="O41" s="287">
        <v>30</v>
      </c>
      <c r="P41" s="287">
        <v>30</v>
      </c>
      <c r="Q41" s="287">
        <v>30</v>
      </c>
    </row>
    <row r="42" spans="1:17" x14ac:dyDescent="0.2">
      <c r="A42" s="1" t="s">
        <v>223</v>
      </c>
      <c r="E42" s="287">
        <f t="shared" ref="E42:Q42" ca="1" si="32">+E180</f>
        <v>100</v>
      </c>
      <c r="F42" s="287">
        <f t="shared" ca="1" si="32"/>
        <v>100</v>
      </c>
      <c r="G42" s="287">
        <f t="shared" ca="1" si="32"/>
        <v>100</v>
      </c>
      <c r="H42" s="287">
        <f t="shared" ca="1" si="32"/>
        <v>100</v>
      </c>
      <c r="I42" s="287">
        <f t="shared" ca="1" si="32"/>
        <v>100</v>
      </c>
      <c r="J42" s="287">
        <f t="shared" ca="1" si="32"/>
        <v>100</v>
      </c>
      <c r="K42" s="287">
        <f t="shared" ca="1" si="32"/>
        <v>100</v>
      </c>
      <c r="L42" s="287">
        <f t="shared" ca="1" si="32"/>
        <v>100</v>
      </c>
      <c r="M42" s="287">
        <f t="shared" ca="1" si="32"/>
        <v>100</v>
      </c>
      <c r="N42" s="287">
        <f t="shared" ca="1" si="32"/>
        <v>100</v>
      </c>
      <c r="O42" s="287">
        <f t="shared" ca="1" si="32"/>
        <v>100</v>
      </c>
      <c r="P42" s="287">
        <f t="shared" ca="1" si="32"/>
        <v>100</v>
      </c>
      <c r="Q42" s="287">
        <f t="shared" ca="1" si="32"/>
        <v>100</v>
      </c>
    </row>
    <row r="43" spans="1:17" x14ac:dyDescent="0.2">
      <c r="A43" s="1" t="s">
        <v>224</v>
      </c>
      <c r="E43" s="287">
        <f ca="1">E42*E41*E40*3</f>
        <v>0</v>
      </c>
      <c r="F43" s="287">
        <f t="shared" ref="F43:H43" ca="1" si="33">F42*F41*F40*3</f>
        <v>0</v>
      </c>
      <c r="G43" s="287">
        <f t="shared" ca="1" si="33"/>
        <v>0</v>
      </c>
      <c r="H43" s="287">
        <f t="shared" ca="1" si="33"/>
        <v>0</v>
      </c>
      <c r="I43" s="287">
        <f ca="1">I42*I41*I40*12</f>
        <v>0</v>
      </c>
      <c r="J43" s="287">
        <f ca="1">J42*J41*J40*3</f>
        <v>0</v>
      </c>
      <c r="K43" s="287">
        <f t="shared" ref="K43:M43" ca="1" si="34">K42*K41*K40*3</f>
        <v>240000</v>
      </c>
      <c r="L43" s="287">
        <f t="shared" ca="1" si="34"/>
        <v>810000</v>
      </c>
      <c r="M43" s="287">
        <f t="shared" ca="1" si="34"/>
        <v>1350000</v>
      </c>
      <c r="N43" s="287">
        <f t="shared" ref="N43:Q43" ca="1" si="35">N42*N41*N40*12</f>
        <v>2400000</v>
      </c>
      <c r="O43" s="287">
        <f t="shared" ca="1" si="35"/>
        <v>7200000</v>
      </c>
      <c r="P43" s="287">
        <f t="shared" ca="1" si="35"/>
        <v>8280000</v>
      </c>
      <c r="Q43" s="287">
        <f t="shared" ca="1" si="35"/>
        <v>9360000</v>
      </c>
    </row>
    <row r="44" spans="1:17" x14ac:dyDescent="0.2">
      <c r="A44" s="1" t="str">
        <f>+A36</f>
        <v>Revenue / Requisition</v>
      </c>
      <c r="E44" s="425">
        <f>+E110</f>
        <v>100</v>
      </c>
      <c r="F44" s="425">
        <f>+F110</f>
        <v>100</v>
      </c>
      <c r="G44" s="425">
        <f>+G110</f>
        <v>100</v>
      </c>
      <c r="H44" s="425">
        <f>+H110</f>
        <v>100</v>
      </c>
      <c r="I44" s="425">
        <f>+I110</f>
        <v>100</v>
      </c>
      <c r="J44" s="425">
        <f t="shared" ref="J44:Q44" si="36">+J110</f>
        <v>100</v>
      </c>
      <c r="K44" s="425">
        <f t="shared" si="36"/>
        <v>100</v>
      </c>
      <c r="L44" s="425">
        <f t="shared" si="36"/>
        <v>100</v>
      </c>
      <c r="M44" s="425">
        <f t="shared" si="36"/>
        <v>100</v>
      </c>
      <c r="N44" s="425">
        <f t="shared" si="36"/>
        <v>100</v>
      </c>
      <c r="O44" s="291">
        <f t="shared" si="36"/>
        <v>100</v>
      </c>
      <c r="P44" s="291">
        <f t="shared" si="36"/>
        <v>100</v>
      </c>
      <c r="Q44" s="291">
        <f t="shared" si="36"/>
        <v>100</v>
      </c>
    </row>
    <row r="45" spans="1:17" x14ac:dyDescent="0.2">
      <c r="A45" s="5" t="s">
        <v>206</v>
      </c>
      <c r="E45" s="426">
        <f ca="1">E44*E43</f>
        <v>0</v>
      </c>
      <c r="F45" s="426">
        <f ca="1">F44*F43</f>
        <v>0</v>
      </c>
      <c r="G45" s="426">
        <f ca="1">G44*G43</f>
        <v>0</v>
      </c>
      <c r="H45" s="426">
        <f ca="1">H44*H43</f>
        <v>0</v>
      </c>
      <c r="I45" s="426">
        <f ca="1">I44*I43</f>
        <v>0</v>
      </c>
      <c r="J45" s="426">
        <f t="shared" ref="J45:Q45" ca="1" si="37">J44*J43</f>
        <v>0</v>
      </c>
      <c r="K45" s="426">
        <f t="shared" ca="1" si="37"/>
        <v>24000000</v>
      </c>
      <c r="L45" s="426">
        <f t="shared" ca="1" si="37"/>
        <v>81000000</v>
      </c>
      <c r="M45" s="426">
        <f t="shared" ca="1" si="37"/>
        <v>135000000</v>
      </c>
      <c r="N45" s="426">
        <f t="shared" ca="1" si="37"/>
        <v>240000000</v>
      </c>
      <c r="O45" s="292">
        <f t="shared" ca="1" si="37"/>
        <v>720000000</v>
      </c>
      <c r="P45" s="292">
        <f t="shared" ca="1" si="37"/>
        <v>828000000</v>
      </c>
      <c r="Q45" s="292">
        <f t="shared" ca="1" si="37"/>
        <v>936000000</v>
      </c>
    </row>
    <row r="46" spans="1:17" s="289" customFormat="1" x14ac:dyDescent="0.2">
      <c r="A46" s="299" t="s">
        <v>210</v>
      </c>
      <c r="J46" s="345"/>
      <c r="K46" s="345"/>
      <c r="L46" s="345"/>
      <c r="M46" s="345"/>
      <c r="N46" s="345"/>
      <c r="O46" s="345">
        <f t="shared" ref="O46:Q46" ca="1" si="38">+O45/N45-1</f>
        <v>2</v>
      </c>
      <c r="P46" s="345">
        <f t="shared" ca="1" si="38"/>
        <v>0.14999999999999991</v>
      </c>
      <c r="Q46" s="345">
        <f t="shared" ca="1" si="38"/>
        <v>0.13043478260869557</v>
      </c>
    </row>
    <row r="47" spans="1:17" s="289" customFormat="1" x14ac:dyDescent="0.2">
      <c r="A47" s="299"/>
      <c r="N47" s="345"/>
      <c r="O47" s="345"/>
      <c r="P47" s="345"/>
      <c r="Q47" s="345"/>
    </row>
    <row r="48" spans="1:17" s="5" customFormat="1" x14ac:dyDescent="0.2">
      <c r="A48" s="281" t="s">
        <v>207</v>
      </c>
      <c r="B48" s="295"/>
      <c r="C48" s="295"/>
      <c r="D48" s="295"/>
      <c r="E48" s="430">
        <f t="shared" ref="E48:Q48" ca="1" si="39">ROUND(+E45+E37+E29+E21, -6)</f>
        <v>2000000</v>
      </c>
      <c r="F48" s="430">
        <f t="shared" ca="1" si="39"/>
        <v>15000000</v>
      </c>
      <c r="G48" s="430">
        <f t="shared" ca="1" si="39"/>
        <v>61000000</v>
      </c>
      <c r="H48" s="430">
        <f t="shared" ca="1" si="39"/>
        <v>153000000</v>
      </c>
      <c r="I48" s="430">
        <f t="shared" ca="1" si="39"/>
        <v>231000000</v>
      </c>
      <c r="J48" s="430">
        <f t="shared" ca="1" si="39"/>
        <v>230000000</v>
      </c>
      <c r="K48" s="430">
        <f t="shared" ca="1" si="39"/>
        <v>324000000</v>
      </c>
      <c r="L48" s="430">
        <f t="shared" ca="1" si="39"/>
        <v>443000000</v>
      </c>
      <c r="M48" s="430">
        <f t="shared" ca="1" si="39"/>
        <v>559000000</v>
      </c>
      <c r="N48" s="430">
        <f t="shared" ca="1" si="39"/>
        <v>1555000000</v>
      </c>
      <c r="O48" s="296">
        <f t="shared" ca="1" si="39"/>
        <v>2841000000</v>
      </c>
      <c r="P48" s="296">
        <f t="shared" ca="1" si="39"/>
        <v>3444000000</v>
      </c>
      <c r="Q48" s="296">
        <f t="shared" ca="1" si="39"/>
        <v>4084000000</v>
      </c>
    </row>
    <row r="49" spans="1:19" s="289" customFormat="1" x14ac:dyDescent="0.2">
      <c r="A49" s="299" t="s">
        <v>210</v>
      </c>
      <c r="J49" s="345">
        <f ca="1">+J48/E48-1</f>
        <v>114</v>
      </c>
      <c r="K49" s="345">
        <f ca="1">+K48/F48-1</f>
        <v>20.6</v>
      </c>
      <c r="L49" s="345">
        <f ca="1">+L48/G48-1</f>
        <v>6.2622950819672134</v>
      </c>
      <c r="M49" s="345">
        <f ca="1">+M48/H48-1</f>
        <v>2.65359477124183</v>
      </c>
      <c r="N49" s="345">
        <f ca="1">+N48/I48-1</f>
        <v>5.7316017316017316</v>
      </c>
      <c r="O49" s="345">
        <f t="shared" ref="O49:Q49" ca="1" si="40">+O48/N48-1</f>
        <v>0.82700964630225071</v>
      </c>
      <c r="P49" s="345">
        <f t="shared" ca="1" si="40"/>
        <v>0.21224920802534308</v>
      </c>
      <c r="Q49" s="345">
        <f t="shared" ca="1" si="40"/>
        <v>0.18583042973286878</v>
      </c>
    </row>
    <row r="50" spans="1:19" s="289" customFormat="1" x14ac:dyDescent="0.2">
      <c r="A50" s="299"/>
      <c r="N50" s="345"/>
      <c r="O50" s="345"/>
      <c r="P50" s="345"/>
      <c r="Q50" s="345"/>
    </row>
    <row r="51" spans="1:19" s="5" customFormat="1" x14ac:dyDescent="0.2">
      <c r="A51" s="10" t="s">
        <v>254</v>
      </c>
      <c r="B51" s="1"/>
      <c r="C51" s="1"/>
      <c r="D51" s="1"/>
      <c r="E51" s="289"/>
      <c r="F51" s="289"/>
      <c r="G51" s="289"/>
      <c r="H51" s="427">
        <f>+I51</f>
        <v>30000000</v>
      </c>
      <c r="I51" s="427">
        <f>'ProForma Income Stmt'!P16</f>
        <v>30000000</v>
      </c>
      <c r="J51" s="427">
        <f>+N51/4</f>
        <v>30000000</v>
      </c>
      <c r="K51" s="427">
        <f>+J51</f>
        <v>30000000</v>
      </c>
      <c r="L51" s="427">
        <f t="shared" ref="L51:M51" si="41">+K51</f>
        <v>30000000</v>
      </c>
      <c r="M51" s="427">
        <f t="shared" si="41"/>
        <v>30000000</v>
      </c>
      <c r="N51" s="427">
        <f>'ProForma Income Stmt'!Q16</f>
        <v>120000000</v>
      </c>
      <c r="O51" s="349">
        <f>N51+50000000</f>
        <v>170000000</v>
      </c>
      <c r="P51" s="349">
        <f t="shared" ref="P51:Q51" si="42">O51+50000000</f>
        <v>220000000</v>
      </c>
      <c r="Q51" s="349">
        <f t="shared" si="42"/>
        <v>270000000</v>
      </c>
      <c r="S51" s="1" t="s">
        <v>255</v>
      </c>
    </row>
    <row r="52" spans="1:19" s="289" customFormat="1" x14ac:dyDescent="0.2">
      <c r="N52" s="345"/>
      <c r="O52" s="345"/>
      <c r="P52" s="345"/>
      <c r="Q52" s="345"/>
    </row>
    <row r="53" spans="1:19" s="289" customFormat="1" x14ac:dyDescent="0.2">
      <c r="A53" s="329" t="s">
        <v>265</v>
      </c>
      <c r="B53" s="329"/>
      <c r="C53" s="329"/>
      <c r="D53" s="329"/>
      <c r="E53" s="329"/>
      <c r="F53" s="329"/>
      <c r="G53" s="329"/>
      <c r="H53" s="329"/>
      <c r="I53" s="329"/>
      <c r="J53" s="329"/>
      <c r="K53" s="329"/>
      <c r="L53" s="329"/>
      <c r="M53" s="329"/>
      <c r="N53" s="423"/>
      <c r="O53" s="423"/>
      <c r="P53" s="423"/>
      <c r="Q53" s="423"/>
    </row>
    <row r="54" spans="1:19" s="289" customFormat="1" x14ac:dyDescent="0.2">
      <c r="N54" s="345"/>
      <c r="O54" s="345"/>
      <c r="P54" s="345"/>
      <c r="Q54" s="345"/>
    </row>
    <row r="55" spans="1:19" x14ac:dyDescent="0.2">
      <c r="A55" s="1" t="s">
        <v>4</v>
      </c>
      <c r="E55" s="289"/>
      <c r="F55" s="289"/>
      <c r="G55" s="289"/>
      <c r="H55" s="289"/>
      <c r="I55" s="431">
        <v>3000</v>
      </c>
      <c r="J55" s="431"/>
      <c r="K55" s="431"/>
      <c r="L55" s="431"/>
      <c r="M55" s="431"/>
      <c r="N55" s="326">
        <f>I55*(1+N$59)</f>
        <v>3060</v>
      </c>
      <c r="O55" s="276">
        <f t="shared" ref="O55:Q57" si="43">N55*(1+O$59)</f>
        <v>3121.2000000000003</v>
      </c>
      <c r="P55" s="276">
        <f t="shared" si="43"/>
        <v>3183.6240000000003</v>
      </c>
      <c r="Q55" s="276">
        <f t="shared" si="43"/>
        <v>3247.2964800000004</v>
      </c>
    </row>
    <row r="56" spans="1:19" x14ac:dyDescent="0.2">
      <c r="A56" s="1" t="s">
        <v>5</v>
      </c>
      <c r="E56" s="289"/>
      <c r="F56" s="289"/>
      <c r="G56" s="289"/>
      <c r="H56" s="289"/>
      <c r="I56" s="431">
        <v>24000</v>
      </c>
      <c r="J56" s="431"/>
      <c r="K56" s="431"/>
      <c r="L56" s="431"/>
      <c r="M56" s="431"/>
      <c r="N56" s="326">
        <f>I56*(1+N$59)</f>
        <v>24480</v>
      </c>
      <c r="O56" s="276">
        <f t="shared" si="43"/>
        <v>24969.600000000002</v>
      </c>
      <c r="P56" s="276">
        <f t="shared" si="43"/>
        <v>25468.992000000002</v>
      </c>
      <c r="Q56" s="276">
        <f t="shared" si="43"/>
        <v>25978.371840000003</v>
      </c>
    </row>
    <row r="57" spans="1:19" x14ac:dyDescent="0.2">
      <c r="A57" s="6" t="s">
        <v>8</v>
      </c>
      <c r="B57" s="6"/>
      <c r="C57" s="6"/>
      <c r="D57" s="6"/>
      <c r="E57" s="328"/>
      <c r="F57" s="328"/>
      <c r="G57" s="328"/>
      <c r="H57" s="328"/>
      <c r="I57" s="432">
        <v>3000</v>
      </c>
      <c r="J57" s="432"/>
      <c r="K57" s="432"/>
      <c r="L57" s="432"/>
      <c r="M57" s="432"/>
      <c r="N57" s="331">
        <f>I57*(1+N$59)</f>
        <v>3060</v>
      </c>
      <c r="O57" s="314">
        <f t="shared" si="43"/>
        <v>3121.2000000000003</v>
      </c>
      <c r="P57" s="314">
        <f t="shared" si="43"/>
        <v>3183.6240000000003</v>
      </c>
      <c r="Q57" s="314">
        <f t="shared" si="43"/>
        <v>3247.2964800000004</v>
      </c>
    </row>
    <row r="58" spans="1:19" x14ac:dyDescent="0.2">
      <c r="A58" s="1" t="s">
        <v>225</v>
      </c>
      <c r="E58" s="289"/>
      <c r="F58" s="289"/>
      <c r="G58" s="289"/>
      <c r="H58" s="289"/>
      <c r="I58" s="427">
        <f>SUM(I55:I57)</f>
        <v>30000</v>
      </c>
      <c r="J58" s="427"/>
      <c r="K58" s="427"/>
      <c r="L58" s="427"/>
      <c r="M58" s="427"/>
      <c r="N58" s="427">
        <f>I58*(1+N59)</f>
        <v>30600</v>
      </c>
      <c r="O58" s="313">
        <f t="shared" ref="O58:Q58" si="44">N58*(1+O59)</f>
        <v>31212</v>
      </c>
      <c r="P58" s="313">
        <f t="shared" si="44"/>
        <v>31836.240000000002</v>
      </c>
      <c r="Q58" s="313">
        <f t="shared" si="44"/>
        <v>32472.964800000002</v>
      </c>
    </row>
    <row r="59" spans="1:19" s="4" customFormat="1" x14ac:dyDescent="0.2">
      <c r="A59" s="4" t="s">
        <v>0</v>
      </c>
      <c r="E59" s="306"/>
      <c r="F59" s="306"/>
      <c r="G59" s="306"/>
      <c r="H59" s="306"/>
      <c r="I59" s="306"/>
      <c r="J59" s="345"/>
      <c r="K59" s="345"/>
      <c r="L59" s="345"/>
      <c r="M59" s="345"/>
      <c r="N59" s="343">
        <v>0.02</v>
      </c>
      <c r="O59" s="14">
        <v>0.02</v>
      </c>
      <c r="P59" s="14">
        <v>0.02</v>
      </c>
      <c r="Q59" s="14">
        <v>0.02</v>
      </c>
    </row>
    <row r="60" spans="1:19" s="289" customFormat="1" x14ac:dyDescent="0.2">
      <c r="N60" s="345"/>
      <c r="O60" s="345"/>
      <c r="P60" s="345"/>
      <c r="Q60" s="345"/>
    </row>
    <row r="61" spans="1:19" x14ac:dyDescent="0.2">
      <c r="A61" s="1" t="s">
        <v>226</v>
      </c>
      <c r="E61" s="289"/>
      <c r="F61" s="289"/>
      <c r="G61" s="289"/>
      <c r="H61" s="289"/>
      <c r="I61" s="427">
        <f ca="1">I29/1000000</f>
        <v>72.38000000000001</v>
      </c>
      <c r="J61" s="427"/>
      <c r="K61" s="427"/>
      <c r="L61" s="427"/>
      <c r="M61" s="427"/>
      <c r="N61" s="427">
        <f ca="1">N29/1000000</f>
        <v>341.88</v>
      </c>
      <c r="O61" s="313">
        <f ca="1">O29/1000000</f>
        <v>665.28</v>
      </c>
      <c r="P61" s="313">
        <f ca="1">P29/1000000</f>
        <v>887.04</v>
      </c>
      <c r="Q61" s="313">
        <f ca="1">Q29/1000000</f>
        <v>1034.8800000000001</v>
      </c>
    </row>
    <row r="62" spans="1:19" x14ac:dyDescent="0.2">
      <c r="A62" s="6" t="s">
        <v>227</v>
      </c>
      <c r="B62" s="6"/>
      <c r="C62" s="6"/>
      <c r="D62" s="6"/>
      <c r="E62" s="328"/>
      <c r="F62" s="328"/>
      <c r="G62" s="328"/>
      <c r="H62" s="328"/>
      <c r="I62" s="331">
        <f ca="1">I21/1000000</f>
        <v>108.72750000000001</v>
      </c>
      <c r="J62" s="331"/>
      <c r="K62" s="331"/>
      <c r="L62" s="331"/>
      <c r="M62" s="331"/>
      <c r="N62" s="331">
        <f ca="1">N21/1000000</f>
        <v>748.125</v>
      </c>
      <c r="O62" s="314">
        <f ca="1">O21/1000000</f>
        <v>1110.375</v>
      </c>
      <c r="P62" s="314">
        <f ca="1">P21/1000000</f>
        <v>1346.625</v>
      </c>
      <c r="Q62" s="314">
        <f ca="1">Q21/1000000</f>
        <v>1693.125</v>
      </c>
      <c r="S62" s="1" t="s">
        <v>266</v>
      </c>
    </row>
    <row r="63" spans="1:19" s="5" customFormat="1" x14ac:dyDescent="0.2">
      <c r="A63" s="3" t="s">
        <v>228</v>
      </c>
      <c r="B63" s="3"/>
      <c r="C63" s="3"/>
      <c r="D63" s="3"/>
      <c r="E63" s="324"/>
      <c r="F63" s="324"/>
      <c r="G63" s="324"/>
      <c r="H63" s="324"/>
      <c r="I63" s="333">
        <f ca="1">I62+I61+I58</f>
        <v>30181.107499999998</v>
      </c>
      <c r="J63" s="333"/>
      <c r="K63" s="333"/>
      <c r="L63" s="333"/>
      <c r="M63" s="333"/>
      <c r="N63" s="333">
        <f t="shared" ref="N63:Q63" ca="1" si="45">N62+N61+N58</f>
        <v>31690.005000000001</v>
      </c>
      <c r="O63" s="20">
        <f t="shared" ca="1" si="45"/>
        <v>32987.654999999999</v>
      </c>
      <c r="P63" s="20">
        <f t="shared" ca="1" si="45"/>
        <v>34069.904999999999</v>
      </c>
      <c r="Q63" s="20">
        <f t="shared" ca="1" si="45"/>
        <v>35200.969799999999</v>
      </c>
    </row>
    <row r="64" spans="1:19" s="5" customFormat="1" x14ac:dyDescent="0.2">
      <c r="A64" s="4" t="s">
        <v>0</v>
      </c>
      <c r="B64" s="3"/>
      <c r="C64" s="3"/>
      <c r="D64" s="3"/>
      <c r="E64" s="324"/>
      <c r="F64" s="324"/>
      <c r="G64" s="324"/>
      <c r="H64" s="324"/>
      <c r="I64" s="333"/>
      <c r="J64" s="333"/>
      <c r="K64" s="333"/>
      <c r="L64" s="333"/>
      <c r="M64" s="333"/>
      <c r="N64" s="337">
        <f ca="1">N63/I63-1</f>
        <v>4.9994769078636425E-2</v>
      </c>
      <c r="O64" s="315">
        <f t="shared" ref="O64:Q64" ca="1" si="46">O63/N63-1</f>
        <v>4.0948242198131535E-2</v>
      </c>
      <c r="P64" s="315">
        <f t="shared" ca="1" si="46"/>
        <v>3.2807727618104465E-2</v>
      </c>
      <c r="Q64" s="315">
        <f t="shared" ca="1" si="46"/>
        <v>3.3198354970464417E-2</v>
      </c>
    </row>
    <row r="65" spans="1:17" s="5" customFormat="1" x14ac:dyDescent="0.2">
      <c r="A65" s="4" t="s">
        <v>230</v>
      </c>
      <c r="B65" s="3"/>
      <c r="C65" s="3"/>
      <c r="D65" s="3"/>
      <c r="E65" s="324"/>
      <c r="F65" s="324"/>
      <c r="G65" s="324"/>
      <c r="H65" s="324"/>
      <c r="I65" s="337">
        <f ca="1">SUM(I61:I62)/I63</f>
        <v>6.0006909951863105E-3</v>
      </c>
      <c r="J65" s="345"/>
      <c r="K65" s="345"/>
      <c r="L65" s="345"/>
      <c r="M65" s="345"/>
      <c r="N65" s="337">
        <f t="shared" ref="N65:Q65" ca="1" si="47">SUM(N61:N62)/N63</f>
        <v>3.43958607769232E-2</v>
      </c>
      <c r="O65" s="315">
        <f t="shared" ca="1" si="47"/>
        <v>5.3827863787225858E-2</v>
      </c>
      <c r="P65" s="315">
        <f t="shared" ca="1" si="47"/>
        <v>6.5561233587237769E-2</v>
      </c>
      <c r="Q65" s="315">
        <f t="shared" ca="1" si="47"/>
        <v>7.7498006887298895E-2</v>
      </c>
    </row>
    <row r="66" spans="1:17" s="289" customFormat="1" x14ac:dyDescent="0.2">
      <c r="N66" s="345"/>
      <c r="O66" s="345"/>
      <c r="P66" s="345"/>
      <c r="Q66" s="345"/>
    </row>
    <row r="67" spans="1:17" x14ac:dyDescent="0.2">
      <c r="A67" s="1" t="s">
        <v>6</v>
      </c>
      <c r="E67" s="289"/>
      <c r="F67" s="289"/>
      <c r="G67" s="289"/>
      <c r="H67" s="289"/>
      <c r="I67" s="431">
        <v>15000</v>
      </c>
      <c r="J67" s="431"/>
      <c r="K67" s="431"/>
      <c r="L67" s="431"/>
      <c r="M67" s="431"/>
      <c r="N67" s="326">
        <f>I67*(1+N$70)</f>
        <v>15300</v>
      </c>
      <c r="O67" s="276">
        <f t="shared" ref="O67:Q68" si="48">N67*(1+O$70)</f>
        <v>15606</v>
      </c>
      <c r="P67" s="276">
        <f t="shared" si="48"/>
        <v>15918.12</v>
      </c>
      <c r="Q67" s="276">
        <f t="shared" si="48"/>
        <v>16236.482400000001</v>
      </c>
    </row>
    <row r="68" spans="1:17" x14ac:dyDescent="0.2">
      <c r="A68" s="6" t="s">
        <v>7</v>
      </c>
      <c r="B68" s="6"/>
      <c r="C68" s="6"/>
      <c r="D68" s="6"/>
      <c r="E68" s="328"/>
      <c r="F68" s="328"/>
      <c r="G68" s="328"/>
      <c r="H68" s="328"/>
      <c r="I68" s="432">
        <v>28000</v>
      </c>
      <c r="J68" s="432"/>
      <c r="K68" s="432"/>
      <c r="L68" s="432"/>
      <c r="M68" s="432"/>
      <c r="N68" s="331">
        <f>I68*(1+N$70)</f>
        <v>28560</v>
      </c>
      <c r="O68" s="314">
        <f t="shared" si="48"/>
        <v>29131.200000000001</v>
      </c>
      <c r="P68" s="314">
        <f t="shared" si="48"/>
        <v>29713.824000000001</v>
      </c>
      <c r="Q68" s="314">
        <f t="shared" si="48"/>
        <v>30308.100480000001</v>
      </c>
    </row>
    <row r="69" spans="1:17" x14ac:dyDescent="0.2">
      <c r="A69" s="1" t="s">
        <v>231</v>
      </c>
      <c r="E69" s="289"/>
      <c r="F69" s="289"/>
      <c r="G69" s="289"/>
      <c r="H69" s="289"/>
      <c r="I69" s="427">
        <f>SUM(I66:I68)</f>
        <v>43000</v>
      </c>
      <c r="J69" s="427"/>
      <c r="K69" s="427"/>
      <c r="L69" s="427"/>
      <c r="M69" s="427"/>
      <c r="N69" s="427">
        <f>I69*(1+N70)</f>
        <v>43860</v>
      </c>
      <c r="O69" s="313">
        <f t="shared" ref="O69:Q69" si="49">N69*(1+O70)</f>
        <v>44737.200000000004</v>
      </c>
      <c r="P69" s="313">
        <f t="shared" si="49"/>
        <v>45631.944000000003</v>
      </c>
      <c r="Q69" s="313">
        <f t="shared" si="49"/>
        <v>46544.582880000002</v>
      </c>
    </row>
    <row r="70" spans="1:17" s="4" customFormat="1" x14ac:dyDescent="0.2">
      <c r="A70" s="4" t="s">
        <v>0</v>
      </c>
      <c r="E70" s="306"/>
      <c r="F70" s="306"/>
      <c r="G70" s="306"/>
      <c r="H70" s="306"/>
      <c r="I70" s="306"/>
      <c r="J70" s="306"/>
      <c r="K70" s="306"/>
      <c r="L70" s="306"/>
      <c r="M70" s="306"/>
      <c r="N70" s="343">
        <v>0.02</v>
      </c>
      <c r="O70" s="14">
        <v>0.02</v>
      </c>
      <c r="P70" s="14">
        <v>0.02</v>
      </c>
      <c r="Q70" s="14">
        <v>0.02</v>
      </c>
    </row>
    <row r="71" spans="1:17" s="289" customFormat="1" x14ac:dyDescent="0.2">
      <c r="N71" s="345"/>
      <c r="O71" s="345"/>
      <c r="P71" s="345"/>
      <c r="Q71" s="345"/>
    </row>
    <row r="72" spans="1:17" x14ac:dyDescent="0.2">
      <c r="A72" s="1" t="s">
        <v>232</v>
      </c>
      <c r="E72" s="289"/>
      <c r="F72" s="289"/>
      <c r="G72" s="289"/>
      <c r="H72" s="289"/>
      <c r="I72" s="427">
        <f ca="1">I37/1000000</f>
        <v>50.000000000000007</v>
      </c>
      <c r="J72" s="427"/>
      <c r="K72" s="427"/>
      <c r="L72" s="427"/>
      <c r="M72" s="427"/>
      <c r="N72" s="427">
        <f ca="1">N37/1000000</f>
        <v>225</v>
      </c>
      <c r="O72" s="313">
        <f ca="1">O37/1000000</f>
        <v>345</v>
      </c>
      <c r="P72" s="313">
        <f ca="1">P37/1000000</f>
        <v>382.5</v>
      </c>
      <c r="Q72" s="313">
        <f ca="1">Q37/1000000</f>
        <v>420</v>
      </c>
    </row>
    <row r="73" spans="1:17" x14ac:dyDescent="0.2">
      <c r="A73" s="6" t="s">
        <v>233</v>
      </c>
      <c r="B73" s="6"/>
      <c r="C73" s="6"/>
      <c r="D73" s="6"/>
      <c r="E73" s="328"/>
      <c r="F73" s="328"/>
      <c r="G73" s="328"/>
      <c r="H73" s="328"/>
      <c r="I73" s="331">
        <f ca="1">I45/1000000</f>
        <v>0</v>
      </c>
      <c r="J73" s="331"/>
      <c r="K73" s="331"/>
      <c r="L73" s="331"/>
      <c r="M73" s="331"/>
      <c r="N73" s="331">
        <f ca="1">N45/1000000</f>
        <v>240</v>
      </c>
      <c r="O73" s="314">
        <f ca="1">O45/1000000</f>
        <v>720</v>
      </c>
      <c r="P73" s="314">
        <f ca="1">P45/1000000</f>
        <v>828</v>
      </c>
      <c r="Q73" s="314">
        <f ca="1">Q45/1000000</f>
        <v>936</v>
      </c>
    </row>
    <row r="74" spans="1:17" s="3" customFormat="1" x14ac:dyDescent="0.2">
      <c r="A74" s="3" t="s">
        <v>234</v>
      </c>
      <c r="E74" s="324"/>
      <c r="F74" s="324"/>
      <c r="G74" s="324"/>
      <c r="H74" s="324"/>
      <c r="I74" s="333">
        <f ca="1">SUM(I72:I73)+I69</f>
        <v>43050</v>
      </c>
      <c r="J74" s="333"/>
      <c r="K74" s="333"/>
      <c r="L74" s="333"/>
      <c r="M74" s="333"/>
      <c r="N74" s="333">
        <f t="shared" ref="N74:Q74" ca="1" si="50">SUM(N72:N73)+N69</f>
        <v>44325</v>
      </c>
      <c r="O74" s="20">
        <f t="shared" ca="1" si="50"/>
        <v>45802.200000000004</v>
      </c>
      <c r="P74" s="20">
        <f t="shared" ca="1" si="50"/>
        <v>46842.444000000003</v>
      </c>
      <c r="Q74" s="20">
        <f t="shared" ca="1" si="50"/>
        <v>47900.582880000002</v>
      </c>
    </row>
    <row r="75" spans="1:17" s="3" customFormat="1" x14ac:dyDescent="0.2">
      <c r="A75" s="4" t="s">
        <v>0</v>
      </c>
      <c r="E75" s="324"/>
      <c r="F75" s="324"/>
      <c r="G75" s="324"/>
      <c r="H75" s="324"/>
      <c r="I75" s="324"/>
      <c r="J75" s="324"/>
      <c r="K75" s="324"/>
      <c r="L75" s="324"/>
      <c r="M75" s="324"/>
      <c r="N75" s="337">
        <f ca="1">N74/I74-1</f>
        <v>2.9616724738676048E-2</v>
      </c>
      <c r="O75" s="315">
        <f t="shared" ref="O75:Q75" ca="1" si="51">O74/N74-1</f>
        <v>3.3326565143824149E-2</v>
      </c>
      <c r="P75" s="315">
        <f t="shared" ca="1" si="51"/>
        <v>2.2711660138595935E-2</v>
      </c>
      <c r="Q75" s="315">
        <f t="shared" ca="1" si="51"/>
        <v>2.258931835409772E-2</v>
      </c>
    </row>
    <row r="76" spans="1:17" s="3" customFormat="1" x14ac:dyDescent="0.2">
      <c r="A76" s="4" t="s">
        <v>230</v>
      </c>
      <c r="E76" s="324"/>
      <c r="F76" s="324"/>
      <c r="G76" s="324"/>
      <c r="H76" s="324"/>
      <c r="I76" s="337">
        <f ca="1">SUM(I72:I73)/I74</f>
        <v>1.1614401858304299E-3</v>
      </c>
      <c r="J76" s="337"/>
      <c r="K76" s="337"/>
      <c r="L76" s="337"/>
      <c r="M76" s="337"/>
      <c r="N76" s="337">
        <f t="shared" ref="N76:Q76" ca="1" si="52">SUM(N72:N73)/N74</f>
        <v>1.0490693739424704E-2</v>
      </c>
      <c r="O76" s="315">
        <f t="shared" ca="1" si="52"/>
        <v>2.3252158193274558E-2</v>
      </c>
      <c r="P76" s="315">
        <f t="shared" ca="1" si="52"/>
        <v>2.5841947956430283E-2</v>
      </c>
      <c r="Q76" s="315">
        <f t="shared" ca="1" si="52"/>
        <v>2.8308632556665037E-2</v>
      </c>
    </row>
    <row r="77" spans="1:17" s="324" customFormat="1" x14ac:dyDescent="0.2">
      <c r="N77" s="424"/>
      <c r="O77" s="424"/>
      <c r="P77" s="424"/>
      <c r="Q77" s="424"/>
    </row>
    <row r="78" spans="1:17" s="3" customFormat="1" x14ac:dyDescent="0.2">
      <c r="A78" s="3" t="s">
        <v>229</v>
      </c>
      <c r="E78" s="324"/>
      <c r="F78" s="324"/>
      <c r="G78" s="324"/>
      <c r="H78" s="324"/>
      <c r="I78" s="333">
        <f ca="1">I74+I63</f>
        <v>73231.107499999998</v>
      </c>
      <c r="J78" s="333"/>
      <c r="K78" s="333"/>
      <c r="L78" s="333"/>
      <c r="M78" s="333"/>
      <c r="N78" s="333">
        <f t="shared" ref="N78:Q78" ca="1" si="53">N74+N63</f>
        <v>76015.005000000005</v>
      </c>
      <c r="O78" s="20">
        <f t="shared" ca="1" si="53"/>
        <v>78789.85500000001</v>
      </c>
      <c r="P78" s="20">
        <f t="shared" ca="1" si="53"/>
        <v>80912.349000000002</v>
      </c>
      <c r="Q78" s="20">
        <f t="shared" ca="1" si="53"/>
        <v>83101.552679999993</v>
      </c>
    </row>
    <row r="79" spans="1:17" s="3" customFormat="1" x14ac:dyDescent="0.2">
      <c r="A79" s="4" t="s">
        <v>0</v>
      </c>
      <c r="E79" s="324"/>
      <c r="F79" s="324"/>
      <c r="G79" s="324"/>
      <c r="H79" s="324"/>
      <c r="I79" s="317"/>
      <c r="J79" s="317"/>
      <c r="K79" s="317"/>
      <c r="L79" s="317"/>
      <c r="M79" s="317"/>
      <c r="N79" s="337">
        <f ca="1">N78/I78-1</f>
        <v>3.80152314369957E-2</v>
      </c>
      <c r="O79" s="315">
        <f t="shared" ref="O79:Q79" ca="1" si="54">O78/N78-1</f>
        <v>3.6503977076631111E-2</v>
      </c>
      <c r="P79" s="315">
        <f t="shared" ca="1" si="54"/>
        <v>2.6938671228675215E-2</v>
      </c>
      <c r="Q79" s="315">
        <f t="shared" ca="1" si="54"/>
        <v>2.7056484047941698E-2</v>
      </c>
    </row>
    <row r="80" spans="1:17" s="3" customFormat="1" x14ac:dyDescent="0.2">
      <c r="A80" s="4" t="s">
        <v>230</v>
      </c>
      <c r="E80" s="324"/>
      <c r="F80" s="324"/>
      <c r="G80" s="324"/>
      <c r="H80" s="324"/>
      <c r="I80" s="337">
        <f ca="1">SUM(I72:I73,I61:I62)/I78</f>
        <v>3.1558651492468556E-3</v>
      </c>
      <c r="J80" s="337"/>
      <c r="K80" s="337"/>
      <c r="L80" s="337"/>
      <c r="M80" s="337"/>
      <c r="N80" s="337">
        <f t="shared" ref="N80:Q80" ca="1" si="55">SUM(N72:N73,N61:N62)/N78</f>
        <v>2.0456553281815872E-2</v>
      </c>
      <c r="O80" s="315">
        <f t="shared" ca="1" si="55"/>
        <v>3.6053562987265295E-2</v>
      </c>
      <c r="P80" s="315">
        <f t="shared" ca="1" si="55"/>
        <v>4.256661736516882E-2</v>
      </c>
      <c r="Q80" s="315">
        <f t="shared" ca="1" si="55"/>
        <v>4.9144749626114932E-2</v>
      </c>
    </row>
    <row r="81" spans="1:19" s="324" customFormat="1" x14ac:dyDescent="0.2">
      <c r="A81" s="306"/>
      <c r="I81" s="337"/>
      <c r="J81" s="337"/>
      <c r="K81" s="337"/>
      <c r="L81" s="337"/>
      <c r="M81" s="337"/>
      <c r="N81" s="337"/>
      <c r="O81" s="337"/>
      <c r="P81" s="337"/>
      <c r="Q81" s="337"/>
    </row>
    <row r="82" spans="1:19" s="324" customFormat="1" hidden="1" outlineLevel="1" x14ac:dyDescent="0.2">
      <c r="A82" s="411" t="s">
        <v>247</v>
      </c>
      <c r="I82" s="337"/>
      <c r="J82" s="405"/>
      <c r="K82" s="405"/>
      <c r="L82" s="405"/>
      <c r="M82" s="405"/>
      <c r="N82" s="405"/>
      <c r="O82" s="337"/>
      <c r="P82" s="337"/>
      <c r="Q82" s="337"/>
    </row>
    <row r="83" spans="1:19" s="3" customFormat="1" hidden="1" outlineLevel="1" x14ac:dyDescent="0.2">
      <c r="A83" s="4"/>
      <c r="E83" s="324"/>
      <c r="F83" s="324"/>
      <c r="G83" s="324"/>
      <c r="H83" s="324"/>
      <c r="I83" s="324"/>
      <c r="J83" s="401"/>
      <c r="K83" s="401"/>
      <c r="L83" s="401"/>
      <c r="M83" s="401"/>
      <c r="N83" s="433"/>
      <c r="O83" s="316"/>
      <c r="P83" s="316"/>
      <c r="Q83" s="316"/>
    </row>
    <row r="84" spans="1:19" s="324" customFormat="1" hidden="1" outlineLevel="1" x14ac:dyDescent="0.2">
      <c r="A84" s="289" t="s">
        <v>235</v>
      </c>
      <c r="C84" s="325">
        <v>0.15</v>
      </c>
      <c r="I84" s="326">
        <f ca="1">$C84*I$78</f>
        <v>10984.666125</v>
      </c>
      <c r="J84" s="406"/>
      <c r="K84" s="406"/>
      <c r="L84" s="406"/>
      <c r="M84" s="406"/>
      <c r="N84" s="406">
        <f t="shared" ref="N84:Q86" ca="1" si="56">$C84*N$78</f>
        <v>11402.250750000001</v>
      </c>
      <c r="O84" s="326">
        <f t="shared" ca="1" si="56"/>
        <v>11818.478250000002</v>
      </c>
      <c r="P84" s="326">
        <f t="shared" ca="1" si="56"/>
        <v>12136.852349999999</v>
      </c>
      <c r="Q84" s="326">
        <f t="shared" ca="1" si="56"/>
        <v>12465.232901999998</v>
      </c>
    </row>
    <row r="85" spans="1:19" s="324" customFormat="1" hidden="1" outlineLevel="1" x14ac:dyDescent="0.2">
      <c r="A85" s="289" t="s">
        <v>236</v>
      </c>
      <c r="C85" s="327">
        <v>0.03</v>
      </c>
      <c r="I85" s="326">
        <f t="shared" ref="I85:I86" ca="1" si="57">$C85*I$78</f>
        <v>2196.9332249999998</v>
      </c>
      <c r="J85" s="406"/>
      <c r="K85" s="406"/>
      <c r="L85" s="406"/>
      <c r="M85" s="406"/>
      <c r="N85" s="406">
        <f t="shared" ca="1" si="56"/>
        <v>2280.4501500000001</v>
      </c>
      <c r="O85" s="326">
        <f t="shared" ca="1" si="56"/>
        <v>2363.6956500000001</v>
      </c>
      <c r="P85" s="326">
        <f t="shared" ca="1" si="56"/>
        <v>2427.3704699999998</v>
      </c>
      <c r="Q85" s="326">
        <f t="shared" ca="1" si="56"/>
        <v>2493.0465803999996</v>
      </c>
    </row>
    <row r="86" spans="1:19" s="324" customFormat="1" hidden="1" outlineLevel="1" x14ac:dyDescent="0.2">
      <c r="A86" s="328" t="s">
        <v>237</v>
      </c>
      <c r="B86" s="329"/>
      <c r="C86" s="330">
        <v>0.08</v>
      </c>
      <c r="D86" s="329"/>
      <c r="E86" s="329"/>
      <c r="F86" s="329"/>
      <c r="G86" s="329"/>
      <c r="H86" s="329"/>
      <c r="I86" s="331">
        <f t="shared" ca="1" si="57"/>
        <v>5858.4885999999997</v>
      </c>
      <c r="J86" s="403"/>
      <c r="K86" s="403"/>
      <c r="L86" s="403"/>
      <c r="M86" s="403"/>
      <c r="N86" s="403">
        <f t="shared" ca="1" si="56"/>
        <v>6081.2004000000006</v>
      </c>
      <c r="O86" s="331">
        <f t="shared" ca="1" si="56"/>
        <v>6303.1884000000009</v>
      </c>
      <c r="P86" s="331">
        <f t="shared" ca="1" si="56"/>
        <v>6472.9879200000005</v>
      </c>
      <c r="Q86" s="331">
        <f t="shared" ca="1" si="56"/>
        <v>6648.1242143999998</v>
      </c>
    </row>
    <row r="87" spans="1:19" s="324" customFormat="1" hidden="1" outlineLevel="1" x14ac:dyDescent="0.2">
      <c r="A87" s="332" t="s">
        <v>246</v>
      </c>
      <c r="I87" s="333">
        <f ca="1">SUM(I84:I86)</f>
        <v>19040.087950000001</v>
      </c>
      <c r="J87" s="404"/>
      <c r="K87" s="404"/>
      <c r="L87" s="404"/>
      <c r="M87" s="404"/>
      <c r="N87" s="404">
        <f t="shared" ref="N87:Q87" ca="1" si="58">SUM(N84:N86)</f>
        <v>19763.901300000001</v>
      </c>
      <c r="O87" s="333">
        <f t="shared" ca="1" si="58"/>
        <v>20485.362300000001</v>
      </c>
      <c r="P87" s="333">
        <f t="shared" ca="1" si="58"/>
        <v>21037.210739999999</v>
      </c>
      <c r="Q87" s="333">
        <f t="shared" ca="1" si="58"/>
        <v>21606.403696799996</v>
      </c>
    </row>
    <row r="88" spans="1:19" s="324" customFormat="1" hidden="1" outlineLevel="1" x14ac:dyDescent="0.2">
      <c r="A88" s="306" t="s">
        <v>0</v>
      </c>
      <c r="I88" s="333"/>
      <c r="J88" s="404"/>
      <c r="K88" s="404"/>
      <c r="L88" s="404"/>
      <c r="M88" s="404"/>
      <c r="N88" s="434">
        <f ca="1">N87/I87-1</f>
        <v>3.8015231436995478E-2</v>
      </c>
      <c r="O88" s="334">
        <f t="shared" ref="O88:Q88" ca="1" si="59">O87/N87-1</f>
        <v>3.6503977076631111E-2</v>
      </c>
      <c r="P88" s="334">
        <f t="shared" ca="1" si="59"/>
        <v>2.6938671228675215E-2</v>
      </c>
      <c r="Q88" s="334">
        <f t="shared" ca="1" si="59"/>
        <v>2.7056484047941698E-2</v>
      </c>
    </row>
    <row r="89" spans="1:19" s="324" customFormat="1" hidden="1" outlineLevel="1" x14ac:dyDescent="0.2">
      <c r="A89" s="306"/>
      <c r="I89" s="333"/>
      <c r="J89" s="404"/>
      <c r="K89" s="404"/>
      <c r="L89" s="404"/>
      <c r="M89" s="404"/>
      <c r="N89" s="434"/>
      <c r="O89" s="334"/>
      <c r="P89" s="334"/>
      <c r="Q89" s="334"/>
    </row>
    <row r="90" spans="1:19" s="324" customFormat="1" hidden="1" outlineLevel="1" x14ac:dyDescent="0.2">
      <c r="A90" s="332" t="s">
        <v>256</v>
      </c>
      <c r="I90" s="333">
        <f ca="1">I48/1000000</f>
        <v>231</v>
      </c>
      <c r="J90" s="404"/>
      <c r="K90" s="404"/>
      <c r="L90" s="404"/>
      <c r="M90" s="404"/>
      <c r="N90" s="404">
        <f t="shared" ref="N90:Q90" ca="1" si="60">N48/1000000</f>
        <v>1555</v>
      </c>
      <c r="O90" s="333">
        <f t="shared" ca="1" si="60"/>
        <v>2841</v>
      </c>
      <c r="P90" s="333">
        <f t="shared" ca="1" si="60"/>
        <v>3444</v>
      </c>
      <c r="Q90" s="333">
        <f t="shared" ca="1" si="60"/>
        <v>4084</v>
      </c>
    </row>
    <row r="91" spans="1:19" s="324" customFormat="1" hidden="1" outlineLevel="1" x14ac:dyDescent="0.2">
      <c r="A91" s="306"/>
      <c r="I91" s="333"/>
      <c r="J91" s="404"/>
      <c r="K91" s="404"/>
      <c r="L91" s="404"/>
      <c r="M91" s="404"/>
      <c r="N91" s="434"/>
      <c r="O91" s="334"/>
      <c r="P91" s="334"/>
      <c r="Q91" s="334"/>
    </row>
    <row r="92" spans="1:19" s="324" customFormat="1" hidden="1" outlineLevel="1" x14ac:dyDescent="0.2">
      <c r="A92" s="289" t="s">
        <v>242</v>
      </c>
      <c r="I92" s="326">
        <f ca="1">I93*I90</f>
        <v>103.95</v>
      </c>
      <c r="J92" s="406"/>
      <c r="K92" s="406"/>
      <c r="L92" s="406"/>
      <c r="M92" s="406"/>
      <c r="N92" s="406">
        <f t="shared" ref="N92:Q92" ca="1" si="61">N93*N90</f>
        <v>622</v>
      </c>
      <c r="O92" s="326">
        <f t="shared" ca="1" si="61"/>
        <v>994.35000000000014</v>
      </c>
      <c r="P92" s="326">
        <f t="shared" ca="1" si="61"/>
        <v>1033.2</v>
      </c>
      <c r="Q92" s="326">
        <f t="shared" ca="1" si="61"/>
        <v>1021.0000000000002</v>
      </c>
    </row>
    <row r="93" spans="1:19" s="324" customFormat="1" hidden="1" outlineLevel="1" x14ac:dyDescent="0.2">
      <c r="A93" s="4" t="s">
        <v>245</v>
      </c>
      <c r="I93" s="335">
        <v>0.45</v>
      </c>
      <c r="J93" s="407"/>
      <c r="K93" s="407"/>
      <c r="L93" s="407"/>
      <c r="M93" s="407"/>
      <c r="N93" s="435">
        <f>I93-5%</f>
        <v>0.4</v>
      </c>
      <c r="O93" s="338">
        <f t="shared" ref="O93:Q93" si="62">N93-5%</f>
        <v>0.35000000000000003</v>
      </c>
      <c r="P93" s="338">
        <f t="shared" si="62"/>
        <v>0.30000000000000004</v>
      </c>
      <c r="Q93" s="338">
        <f t="shared" si="62"/>
        <v>0.25000000000000006</v>
      </c>
      <c r="S93" s="317" t="s">
        <v>249</v>
      </c>
    </row>
    <row r="94" spans="1:19" s="324" customFormat="1" hidden="1" outlineLevel="1" x14ac:dyDescent="0.2">
      <c r="A94" s="4" t="s">
        <v>230</v>
      </c>
      <c r="I94" s="337">
        <f ca="1">I92/I84</f>
        <v>9.4631915815283837E-3</v>
      </c>
      <c r="J94" s="405"/>
      <c r="K94" s="405"/>
      <c r="L94" s="405"/>
      <c r="M94" s="405"/>
      <c r="N94" s="405">
        <f t="shared" ref="N94:Q94" ca="1" si="63">N92/N84</f>
        <v>5.4550633347543245E-2</v>
      </c>
      <c r="O94" s="337">
        <f t="shared" ca="1" si="63"/>
        <v>8.4135197355040187E-2</v>
      </c>
      <c r="P94" s="337">
        <f t="shared" ca="1" si="63"/>
        <v>8.5129156242886986E-2</v>
      </c>
      <c r="Q94" s="337">
        <f t="shared" ca="1" si="63"/>
        <v>8.1907815764612368E-2</v>
      </c>
      <c r="S94" s="317" t="s">
        <v>248</v>
      </c>
    </row>
    <row r="95" spans="1:19" s="324" customFormat="1" hidden="1" outlineLevel="1" x14ac:dyDescent="0.2">
      <c r="A95" s="306"/>
      <c r="I95" s="337"/>
      <c r="J95" s="405"/>
      <c r="K95" s="405"/>
      <c r="L95" s="405"/>
      <c r="M95" s="405"/>
      <c r="N95" s="405"/>
      <c r="O95" s="337"/>
      <c r="P95" s="337"/>
      <c r="Q95" s="337"/>
    </row>
    <row r="96" spans="1:19" s="324" customFormat="1" hidden="1" outlineLevel="1" x14ac:dyDescent="0.2">
      <c r="A96" s="289" t="s">
        <v>243</v>
      </c>
      <c r="I96" s="326">
        <f ca="1">I97*I90</f>
        <v>103.95</v>
      </c>
      <c r="J96" s="406"/>
      <c r="K96" s="406"/>
      <c r="L96" s="406"/>
      <c r="M96" s="406"/>
      <c r="N96" s="406">
        <f t="shared" ref="N96:Q96" ca="1" si="64">N97*N90</f>
        <v>622</v>
      </c>
      <c r="O96" s="326">
        <f t="shared" ca="1" si="64"/>
        <v>994.35000000000014</v>
      </c>
      <c r="P96" s="326">
        <f t="shared" ca="1" si="64"/>
        <v>1033.2</v>
      </c>
      <c r="Q96" s="326">
        <f t="shared" ca="1" si="64"/>
        <v>1021.0000000000002</v>
      </c>
    </row>
    <row r="97" spans="1:19" s="324" customFormat="1" hidden="1" outlineLevel="1" x14ac:dyDescent="0.2">
      <c r="A97" s="4" t="s">
        <v>245</v>
      </c>
      <c r="I97" s="335">
        <v>0.45</v>
      </c>
      <c r="J97" s="407"/>
      <c r="K97" s="407"/>
      <c r="L97" s="407"/>
      <c r="M97" s="407"/>
      <c r="N97" s="435">
        <f>I97-5%</f>
        <v>0.4</v>
      </c>
      <c r="O97" s="338">
        <f t="shared" ref="O97:Q97" si="65">N97-5%</f>
        <v>0.35000000000000003</v>
      </c>
      <c r="P97" s="338">
        <f t="shared" si="65"/>
        <v>0.30000000000000004</v>
      </c>
      <c r="Q97" s="338">
        <f t="shared" si="65"/>
        <v>0.25000000000000006</v>
      </c>
    </row>
    <row r="98" spans="1:19" s="324" customFormat="1" hidden="1" outlineLevel="1" x14ac:dyDescent="0.2">
      <c r="A98" s="4" t="s">
        <v>230</v>
      </c>
      <c r="I98" s="336">
        <f ca="1">I96/I85</f>
        <v>4.7315957907641919E-2</v>
      </c>
      <c r="J98" s="408"/>
      <c r="K98" s="408"/>
      <c r="L98" s="408"/>
      <c r="M98" s="408"/>
      <c r="N98" s="408">
        <f t="shared" ref="N98:Q98" ca="1" si="66">N96/N85</f>
        <v>0.27275316673771621</v>
      </c>
      <c r="O98" s="336">
        <f t="shared" ca="1" si="66"/>
        <v>0.42067598677520096</v>
      </c>
      <c r="P98" s="336">
        <f t="shared" ca="1" si="66"/>
        <v>0.42564578121443492</v>
      </c>
      <c r="Q98" s="336">
        <f t="shared" ca="1" si="66"/>
        <v>0.40953907882306184</v>
      </c>
    </row>
    <row r="99" spans="1:19" s="324" customFormat="1" hidden="1" outlineLevel="1" x14ac:dyDescent="0.2">
      <c r="A99" s="306"/>
      <c r="I99" s="336"/>
      <c r="J99" s="408"/>
      <c r="K99" s="408"/>
      <c r="L99" s="408"/>
      <c r="M99" s="408"/>
      <c r="N99" s="408"/>
      <c r="O99" s="336"/>
      <c r="P99" s="336"/>
      <c r="Q99" s="336"/>
    </row>
    <row r="100" spans="1:19" s="324" customFormat="1" hidden="1" outlineLevel="1" x14ac:dyDescent="0.2">
      <c r="A100" s="289" t="s">
        <v>244</v>
      </c>
      <c r="I100" s="333"/>
      <c r="J100" s="404"/>
      <c r="K100" s="404"/>
      <c r="L100" s="404"/>
      <c r="M100" s="404"/>
      <c r="N100" s="434"/>
      <c r="O100" s="326">
        <f ca="1">O101*O90</f>
        <v>56.82</v>
      </c>
      <c r="P100" s="326">
        <f t="shared" ref="P100:Q100" ca="1" si="67">P101*P90</f>
        <v>172.20000000000002</v>
      </c>
      <c r="Q100" s="326">
        <f t="shared" ca="1" si="67"/>
        <v>408.40000000000003</v>
      </c>
    </row>
    <row r="101" spans="1:19" s="324" customFormat="1" hidden="1" outlineLevel="1" x14ac:dyDescent="0.2">
      <c r="A101" s="4" t="s">
        <v>245</v>
      </c>
      <c r="I101" s="333"/>
      <c r="J101" s="404"/>
      <c r="K101" s="404"/>
      <c r="L101" s="404"/>
      <c r="M101" s="404"/>
      <c r="N101" s="434"/>
      <c r="O101" s="338">
        <v>0.02</v>
      </c>
      <c r="P101" s="338">
        <v>0.05</v>
      </c>
      <c r="Q101" s="338">
        <v>0.1</v>
      </c>
      <c r="S101" s="317" t="s">
        <v>250</v>
      </c>
    </row>
    <row r="102" spans="1:19" s="324" customFormat="1" hidden="1" outlineLevel="1" x14ac:dyDescent="0.2">
      <c r="A102" s="4" t="s">
        <v>230</v>
      </c>
      <c r="I102" s="333"/>
      <c r="J102" s="404"/>
      <c r="K102" s="404"/>
      <c r="L102" s="404"/>
      <c r="M102" s="404"/>
      <c r="N102" s="434"/>
      <c r="O102" s="339">
        <f ca="1">O100/O86</f>
        <v>9.0144854308971626E-3</v>
      </c>
      <c r="P102" s="339">
        <f t="shared" ref="P102:Q102" ca="1" si="68">P100/P86</f>
        <v>2.6602861325902182E-2</v>
      </c>
      <c r="Q102" s="339">
        <f t="shared" ca="1" si="68"/>
        <v>6.1430861823459262E-2</v>
      </c>
    </row>
    <row r="103" spans="1:19" s="324" customFormat="1" hidden="1" outlineLevel="1" x14ac:dyDescent="0.2">
      <c r="A103" s="332"/>
      <c r="I103" s="333"/>
      <c r="J103" s="404"/>
      <c r="K103" s="404"/>
      <c r="L103" s="404"/>
      <c r="M103" s="404"/>
      <c r="N103" s="404"/>
      <c r="O103" s="333"/>
      <c r="P103" s="333"/>
      <c r="Q103" s="333"/>
    </row>
    <row r="104" spans="1:19" s="289" customFormat="1" collapsed="1" x14ac:dyDescent="0.2">
      <c r="A104" s="329" t="s">
        <v>184</v>
      </c>
      <c r="B104" s="328"/>
      <c r="C104" s="328"/>
      <c r="D104" s="328"/>
      <c r="E104" s="328"/>
      <c r="F104" s="328"/>
      <c r="G104" s="328"/>
      <c r="H104" s="328"/>
      <c r="I104" s="328"/>
      <c r="J104" s="328"/>
      <c r="K104" s="328"/>
      <c r="L104" s="328"/>
      <c r="M104" s="328"/>
      <c r="N104" s="328"/>
      <c r="O104" s="328"/>
      <c r="P104" s="328"/>
      <c r="Q104" s="328"/>
    </row>
    <row r="105" spans="1:19" s="289" customFormat="1" x14ac:dyDescent="0.2">
      <c r="A105" s="324"/>
      <c r="B105" s="317"/>
      <c r="C105" s="317"/>
      <c r="D105" s="317"/>
      <c r="E105" s="317"/>
      <c r="F105" s="317"/>
      <c r="G105" s="317"/>
      <c r="H105" s="317"/>
      <c r="I105" s="317"/>
      <c r="J105" s="317"/>
      <c r="K105" s="317"/>
      <c r="L105" s="317"/>
      <c r="M105" s="317"/>
      <c r="N105" s="317"/>
      <c r="O105" s="317"/>
      <c r="P105" s="317"/>
      <c r="Q105" s="317"/>
    </row>
    <row r="106" spans="1:19" s="289" customFormat="1" x14ac:dyDescent="0.2">
      <c r="A106" s="307" t="s">
        <v>192</v>
      </c>
      <c r="B106" s="317"/>
      <c r="C106" s="317"/>
      <c r="D106" s="317"/>
      <c r="E106" s="317"/>
      <c r="F106" s="317"/>
      <c r="G106" s="317"/>
      <c r="H106" s="317"/>
      <c r="I106" s="317"/>
      <c r="J106" s="317"/>
      <c r="K106" s="317"/>
      <c r="L106" s="317"/>
      <c r="M106" s="317"/>
      <c r="N106" s="317"/>
      <c r="O106" s="317"/>
      <c r="P106" s="317"/>
      <c r="Q106" s="317"/>
    </row>
    <row r="107" spans="1:19" x14ac:dyDescent="0.2">
      <c r="A107" s="10" t="s">
        <v>193</v>
      </c>
      <c r="B107" s="10"/>
      <c r="C107" s="10"/>
      <c r="D107" s="10"/>
      <c r="E107" s="410">
        <f>+I107</f>
        <v>35</v>
      </c>
      <c r="F107" s="410">
        <f>+E107</f>
        <v>35</v>
      </c>
      <c r="G107" s="410">
        <f t="shared" ref="G107:H107" si="69">+F107</f>
        <v>35</v>
      </c>
      <c r="H107" s="410">
        <f t="shared" si="69"/>
        <v>35</v>
      </c>
      <c r="I107" s="410">
        <f>+'Macro Assumptions'!C16</f>
        <v>35</v>
      </c>
      <c r="J107" s="410">
        <f>+E107</f>
        <v>35</v>
      </c>
      <c r="K107" s="410">
        <f>+F107</f>
        <v>35</v>
      </c>
      <c r="L107" s="410">
        <f>+G107</f>
        <v>35</v>
      </c>
      <c r="M107" s="410">
        <f>+H107</f>
        <v>35</v>
      </c>
      <c r="N107" s="410">
        <f>+I107</f>
        <v>35</v>
      </c>
      <c r="O107" s="297">
        <f t="shared" ref="O107:Q107" si="70">+N107</f>
        <v>35</v>
      </c>
      <c r="P107" s="297">
        <f t="shared" si="70"/>
        <v>35</v>
      </c>
      <c r="Q107" s="297">
        <f t="shared" si="70"/>
        <v>35</v>
      </c>
    </row>
    <row r="108" spans="1:19" x14ac:dyDescent="0.2">
      <c r="A108" s="10" t="s">
        <v>194</v>
      </c>
      <c r="B108" s="10"/>
      <c r="C108" s="10"/>
      <c r="D108" s="10"/>
      <c r="E108" s="410">
        <f t="shared" ref="E108:E110" si="71">+I108</f>
        <v>35</v>
      </c>
      <c r="F108" s="410">
        <f t="shared" ref="F108:H110" si="72">+E108</f>
        <v>35</v>
      </c>
      <c r="G108" s="410">
        <f t="shared" si="72"/>
        <v>35</v>
      </c>
      <c r="H108" s="410">
        <f t="shared" si="72"/>
        <v>35</v>
      </c>
      <c r="I108" s="410">
        <f>+I107</f>
        <v>35</v>
      </c>
      <c r="J108" s="410">
        <f t="shared" ref="J108:Q108" si="73">+J107</f>
        <v>35</v>
      </c>
      <c r="K108" s="410">
        <f t="shared" si="73"/>
        <v>35</v>
      </c>
      <c r="L108" s="410">
        <f t="shared" si="73"/>
        <v>35</v>
      </c>
      <c r="M108" s="410">
        <f t="shared" si="73"/>
        <v>35</v>
      </c>
      <c r="N108" s="410">
        <f t="shared" si="73"/>
        <v>35</v>
      </c>
      <c r="O108" s="297">
        <f t="shared" si="73"/>
        <v>35</v>
      </c>
      <c r="P108" s="297">
        <f t="shared" si="73"/>
        <v>35</v>
      </c>
      <c r="Q108" s="297">
        <f t="shared" si="73"/>
        <v>35</v>
      </c>
    </row>
    <row r="109" spans="1:19" x14ac:dyDescent="0.2">
      <c r="A109" s="10" t="s">
        <v>195</v>
      </c>
      <c r="B109" s="10"/>
      <c r="C109" s="10"/>
      <c r="D109" s="10"/>
      <c r="E109" s="410">
        <f t="shared" si="71"/>
        <v>50</v>
      </c>
      <c r="F109" s="410">
        <f t="shared" si="72"/>
        <v>50</v>
      </c>
      <c r="G109" s="410">
        <f t="shared" si="72"/>
        <v>50</v>
      </c>
      <c r="H109" s="410">
        <f t="shared" si="72"/>
        <v>50</v>
      </c>
      <c r="I109" s="410">
        <v>50</v>
      </c>
      <c r="J109" s="410">
        <v>50</v>
      </c>
      <c r="K109" s="410">
        <v>50</v>
      </c>
      <c r="L109" s="410">
        <v>50</v>
      </c>
      <c r="M109" s="410">
        <v>50</v>
      </c>
      <c r="N109" s="410">
        <v>50</v>
      </c>
      <c r="O109" s="297">
        <v>50</v>
      </c>
      <c r="P109" s="297">
        <v>50</v>
      </c>
      <c r="Q109" s="297">
        <v>50</v>
      </c>
    </row>
    <row r="110" spans="1:19" x14ac:dyDescent="0.2">
      <c r="A110" s="10" t="s">
        <v>196</v>
      </c>
      <c r="B110" s="10"/>
      <c r="C110" s="10"/>
      <c r="D110" s="10"/>
      <c r="E110" s="410">
        <f t="shared" si="71"/>
        <v>100</v>
      </c>
      <c r="F110" s="410">
        <f t="shared" si="72"/>
        <v>100</v>
      </c>
      <c r="G110" s="410">
        <f t="shared" si="72"/>
        <v>100</v>
      </c>
      <c r="H110" s="410">
        <f t="shared" si="72"/>
        <v>100</v>
      </c>
      <c r="I110" s="410">
        <v>100</v>
      </c>
      <c r="J110" s="410">
        <v>100</v>
      </c>
      <c r="K110" s="410">
        <v>100</v>
      </c>
      <c r="L110" s="410">
        <v>100</v>
      </c>
      <c r="M110" s="410">
        <v>100</v>
      </c>
      <c r="N110" s="410">
        <v>100</v>
      </c>
      <c r="O110" s="297">
        <v>100</v>
      </c>
      <c r="P110" s="297">
        <v>100</v>
      </c>
      <c r="Q110" s="297">
        <v>100</v>
      </c>
    </row>
    <row r="111" spans="1:19" s="289" customFormat="1" x14ac:dyDescent="0.2">
      <c r="A111" s="324"/>
      <c r="B111" s="317"/>
      <c r="C111" s="317"/>
      <c r="D111" s="317"/>
      <c r="E111" s="317"/>
      <c r="F111" s="317"/>
      <c r="G111" s="317"/>
      <c r="H111" s="317"/>
      <c r="I111" s="317"/>
      <c r="J111" s="317"/>
      <c r="K111" s="317"/>
      <c r="L111" s="317"/>
      <c r="M111" s="317"/>
      <c r="N111" s="317"/>
      <c r="O111" s="317"/>
      <c r="P111" s="317"/>
      <c r="Q111" s="317"/>
    </row>
    <row r="112" spans="1:19" s="289" customFormat="1" x14ac:dyDescent="0.2">
      <c r="A112" s="411" t="s">
        <v>183</v>
      </c>
    </row>
    <row r="113" spans="1:22" s="289" customFormat="1" x14ac:dyDescent="0.2">
      <c r="A113" s="332"/>
    </row>
    <row r="114" spans="1:22" s="289" customFormat="1" x14ac:dyDescent="0.2">
      <c r="A114" s="289" t="s">
        <v>53</v>
      </c>
      <c r="D114" s="412">
        <v>2</v>
      </c>
      <c r="E114" s="413"/>
      <c r="F114" s="413"/>
      <c r="G114" s="413"/>
      <c r="H114" s="413"/>
    </row>
    <row r="115" spans="1:22" s="289" customFormat="1" x14ac:dyDescent="0.2">
      <c r="A115" s="303" t="str">
        <f ca="1">+OFFSET(A115,$D$114,0)</f>
        <v>Base (Company)</v>
      </c>
      <c r="B115" s="304"/>
      <c r="C115" s="304"/>
      <c r="D115" s="304"/>
      <c r="E115" s="415">
        <f ca="1">+OFFSET(E115,$D$114,0)</f>
        <v>17.666666666666668</v>
      </c>
      <c r="F115" s="415">
        <f ca="1">+OFFSET(F115,$D$114,0)</f>
        <v>60</v>
      </c>
      <c r="G115" s="415">
        <f ca="1">+OFFSET(G115,$D$114,0)</f>
        <v>233.33333333333334</v>
      </c>
      <c r="H115" s="415">
        <f ca="1">+OFFSET(H115,$D$114,0)</f>
        <v>800</v>
      </c>
      <c r="I115" s="415">
        <f ca="1">+OFFSET(I115,$D$114,0)</f>
        <v>277.75</v>
      </c>
      <c r="J115" s="415">
        <f t="shared" ref="J115:Q115" ca="1" si="74">+OFFSET(J115,$D$114,0)</f>
        <v>1200</v>
      </c>
      <c r="K115" s="415">
        <f t="shared" ca="1" si="74"/>
        <v>1500</v>
      </c>
      <c r="L115" s="415">
        <f t="shared" ca="1" si="74"/>
        <v>1933.3333333333333</v>
      </c>
      <c r="M115" s="415">
        <f t="shared" ca="1" si="74"/>
        <v>2400</v>
      </c>
      <c r="N115" s="415">
        <f t="shared" ca="1" si="74"/>
        <v>1758.3333333333333</v>
      </c>
      <c r="O115" s="415">
        <f t="shared" ca="1" si="74"/>
        <v>2600</v>
      </c>
      <c r="P115" s="415">
        <f t="shared" ca="1" si="74"/>
        <v>2900</v>
      </c>
      <c r="Q115" s="416">
        <f t="shared" ca="1" si="74"/>
        <v>3200</v>
      </c>
    </row>
    <row r="116" spans="1:22" s="4" customFormat="1" x14ac:dyDescent="0.2">
      <c r="A116" s="299" t="s">
        <v>185</v>
      </c>
      <c r="E116" s="417">
        <f>+$I$116*0.25</f>
        <v>8.2061250000000001</v>
      </c>
      <c r="F116" s="417">
        <f>+$I$116*0.75</f>
        <v>24.618375</v>
      </c>
      <c r="G116" s="417">
        <f>+$I$116*1.25</f>
        <v>41.030625000000001</v>
      </c>
      <c r="H116" s="417">
        <f>+$I$116*1.75</f>
        <v>57.442875000000001</v>
      </c>
      <c r="I116" s="320">
        <f>+SUMPRODUCT('Store Build'!S144:S172,'Store Build'!U144:U172,'Store Build'!F76:F104)</f>
        <v>32.8245</v>
      </c>
      <c r="J116" s="409"/>
      <c r="K116" s="409"/>
      <c r="L116" s="409"/>
      <c r="M116" s="409"/>
      <c r="N116" s="429">
        <f>+SUMPRODUCT('Store Build'!$U$144:$U$172,'Store Build'!$S$144:$S$172,'Store Build'!G76:G104)</f>
        <v>212.45800000000006</v>
      </c>
      <c r="O116" s="429">
        <f>+SUMPRODUCT('Store Build'!$U$144:$U$172,'Store Build'!$S$144:$S$172,'Store Build'!H76:H104)</f>
        <v>545.59400000000005</v>
      </c>
      <c r="P116" s="429">
        <f>+SUMPRODUCT('Store Build'!$U$144:$U$172,'Store Build'!$S$144:$S$172,'Store Build'!I76:I104)</f>
        <v>791.19800000000009</v>
      </c>
      <c r="Q116" s="429">
        <f>+SUMPRODUCT('Store Build'!$U$144:$U$172,'Store Build'!$S$144:$S$172,'Store Build'!J76:J104)</f>
        <v>791.19800000000009</v>
      </c>
      <c r="S116" s="301"/>
      <c r="T116" s="293"/>
      <c r="U116" s="293"/>
      <c r="V116" s="293"/>
    </row>
    <row r="117" spans="1:22" s="4" customFormat="1" x14ac:dyDescent="0.2">
      <c r="A117" s="299" t="s">
        <v>187</v>
      </c>
      <c r="E117" s="417">
        <f>+AVERAGE('Theranos Market Assumptions'!I3:K3)</f>
        <v>17.666666666666668</v>
      </c>
      <c r="F117" s="417">
        <f>+AVERAGE('Theranos Market Assumptions'!L3:N3)</f>
        <v>60</v>
      </c>
      <c r="G117" s="417">
        <f>+AVERAGE('Theranos Market Assumptions'!O3:Q3)</f>
        <v>233.33333333333334</v>
      </c>
      <c r="H117" s="417">
        <f>+AVERAGE('Theranos Market Assumptions'!R3:T3)</f>
        <v>800</v>
      </c>
      <c r="I117" s="417">
        <f>+AVERAGE(E117:H117)</f>
        <v>277.75</v>
      </c>
      <c r="J117" s="417">
        <f>+AVERAGE('Theranos Market Assumptions'!U3:W3)</f>
        <v>1200</v>
      </c>
      <c r="K117" s="417">
        <f>+AVERAGE('Theranos Market Assumptions'!X3:Z3)</f>
        <v>1500</v>
      </c>
      <c r="L117" s="417">
        <f>+AVERAGE('Theranos Market Assumptions'!AA3:AC3)</f>
        <v>1933.3333333333333</v>
      </c>
      <c r="M117" s="417">
        <f>+AVERAGE('Theranos Market Assumptions'!AD3:AF3)</f>
        <v>2400</v>
      </c>
      <c r="N117" s="417">
        <f>+AVERAGE('Theranos Market Assumptions'!U3:AF3)</f>
        <v>1758.3333333333333</v>
      </c>
      <c r="O117" s="302">
        <f>+'Theranos Market Assumptions'!AF3+200</f>
        <v>2600</v>
      </c>
      <c r="P117" s="300">
        <f>+O117+300</f>
        <v>2900</v>
      </c>
      <c r="Q117" s="300">
        <f>+P117+300</f>
        <v>3200</v>
      </c>
    </row>
    <row r="118" spans="1:22" s="4" customFormat="1" x14ac:dyDescent="0.2">
      <c r="A118" s="299" t="s">
        <v>186</v>
      </c>
      <c r="E118" s="418">
        <v>20</v>
      </c>
      <c r="F118" s="418">
        <v>80</v>
      </c>
      <c r="G118" s="418">
        <v>250</v>
      </c>
      <c r="H118" s="418">
        <v>950</v>
      </c>
      <c r="I118" s="417">
        <f>+AVERAGE(E118:H118)</f>
        <v>325</v>
      </c>
      <c r="J118" s="319">
        <f>+J117+100</f>
        <v>1300</v>
      </c>
      <c r="K118" s="319">
        <f>+K117+100</f>
        <v>1600</v>
      </c>
      <c r="L118" s="319">
        <f>+L117+100</f>
        <v>2033.3333333333333</v>
      </c>
      <c r="M118" s="319">
        <f>+M117+100</f>
        <v>2500</v>
      </c>
      <c r="N118" s="320">
        <f>+AVERAGE(J118:M118)</f>
        <v>1858.3333333333333</v>
      </c>
      <c r="O118" s="300">
        <f>+O117+200</f>
        <v>2800</v>
      </c>
      <c r="P118" s="300">
        <f t="shared" ref="P118:Q118" si="75">+P117+200</f>
        <v>3100</v>
      </c>
      <c r="Q118" s="300">
        <f t="shared" si="75"/>
        <v>3400</v>
      </c>
    </row>
    <row r="119" spans="1:22" s="289" customFormat="1" x14ac:dyDescent="0.2"/>
    <row r="120" spans="1:22" s="289" customFormat="1" x14ac:dyDescent="0.2">
      <c r="A120" s="289" t="s">
        <v>55</v>
      </c>
      <c r="D120" s="412">
        <v>2</v>
      </c>
      <c r="E120" s="413"/>
      <c r="F120" s="413"/>
      <c r="G120" s="413"/>
      <c r="H120" s="413"/>
    </row>
    <row r="121" spans="1:22" s="289" customFormat="1" x14ac:dyDescent="0.2">
      <c r="A121" s="303" t="str">
        <f ca="1">+OFFSET(A121,$D$120,0)</f>
        <v>Base (Company)</v>
      </c>
      <c r="B121" s="304"/>
      <c r="C121" s="304"/>
      <c r="D121" s="304"/>
      <c r="E121" s="415">
        <f t="shared" ref="E121:Q121" ca="1" si="76">+OFFSET(E121,$D$120,0)</f>
        <v>0</v>
      </c>
      <c r="F121" s="415">
        <f t="shared" ca="1" si="76"/>
        <v>10</v>
      </c>
      <c r="G121" s="415">
        <f t="shared" ca="1" si="76"/>
        <v>90</v>
      </c>
      <c r="H121" s="415">
        <f t="shared" ca="1" si="76"/>
        <v>200</v>
      </c>
      <c r="I121" s="415">
        <f t="shared" ca="1" si="76"/>
        <v>80.909090909090907</v>
      </c>
      <c r="J121" s="415">
        <f t="shared" ca="1" si="76"/>
        <v>400</v>
      </c>
      <c r="K121" s="415">
        <f t="shared" ca="1" si="76"/>
        <v>666.66666666666663</v>
      </c>
      <c r="L121" s="415">
        <f t="shared" ca="1" si="76"/>
        <v>700</v>
      </c>
      <c r="M121" s="415">
        <f t="shared" ca="1" si="76"/>
        <v>700</v>
      </c>
      <c r="N121" s="415">
        <f t="shared" ca="1" si="76"/>
        <v>616.66666666666663</v>
      </c>
      <c r="O121" s="415">
        <f t="shared" ca="1" si="76"/>
        <v>925</v>
      </c>
      <c r="P121" s="415">
        <f t="shared" ca="1" si="76"/>
        <v>1375</v>
      </c>
      <c r="Q121" s="416">
        <f t="shared" ca="1" si="76"/>
        <v>2175</v>
      </c>
      <c r="S121" s="317"/>
      <c r="T121" s="317"/>
      <c r="U121" s="317"/>
      <c r="V121" s="317"/>
    </row>
    <row r="122" spans="1:22" s="4" customFormat="1" x14ac:dyDescent="0.2">
      <c r="A122" s="299" t="s">
        <v>185</v>
      </c>
      <c r="E122" s="417">
        <f>+$I$122*0.25</f>
        <v>1.42875</v>
      </c>
      <c r="F122" s="417">
        <f>+$I$122*0.75</f>
        <v>4.2862499999999999</v>
      </c>
      <c r="G122" s="417">
        <f>+$I$122*1.25</f>
        <v>7.1437499999999998</v>
      </c>
      <c r="H122" s="417">
        <f>+$I$122*1.75</f>
        <v>10.001249999999999</v>
      </c>
      <c r="I122" s="320">
        <f>+SUMPRODUCT('Store Build'!P144:P172,'Store Build'!Q144:Q172,'Store Build'!F76:F104)</f>
        <v>5.7149999999999999</v>
      </c>
      <c r="J122" s="409"/>
      <c r="K122" s="409"/>
      <c r="L122" s="409"/>
      <c r="M122" s="409"/>
      <c r="N122" s="409">
        <f>+SUMPRODUCT('Store Build'!$P$144:$P$172,'Store Build'!$Q$144:$Q$172,'Store Build'!G76:G104)</f>
        <v>30.855</v>
      </c>
      <c r="O122" s="409">
        <f>+SUMPRODUCT('Store Build'!$P$144:$P$172,'Store Build'!$Q$144:$Q$172,'Store Build'!H76:H104)</f>
        <v>72.495000000000005</v>
      </c>
      <c r="P122" s="409">
        <f>+SUMPRODUCT('Store Build'!$P$144:$P$172,'Store Build'!$Q$144:$Q$172,'Store Build'!I76:I104)</f>
        <v>98.894999999999996</v>
      </c>
      <c r="Q122" s="409">
        <f>+SUMPRODUCT('Store Build'!$P$144:$P$172,'Store Build'!$Q$144:$Q$172,'Store Build'!J76:J104)</f>
        <v>98.894999999999996</v>
      </c>
      <c r="S122" s="301"/>
      <c r="T122" s="293"/>
      <c r="U122" s="293"/>
      <c r="V122" s="293"/>
    </row>
    <row r="123" spans="1:22" s="4" customFormat="1" x14ac:dyDescent="0.2">
      <c r="A123" s="299" t="s">
        <v>187</v>
      </c>
      <c r="E123" s="417">
        <f>+AVERAGE('Theranos Market Assumptions'!I5:K5)</f>
        <v>0</v>
      </c>
      <c r="F123" s="417">
        <f>+AVERAGE('Theranos Market Assumptions'!L5:N5)</f>
        <v>10</v>
      </c>
      <c r="G123" s="417">
        <f>+AVERAGE('Theranos Market Assumptions'!O5:Q5)</f>
        <v>90</v>
      </c>
      <c r="H123" s="417">
        <f>+AVERAGE('Theranos Market Assumptions'!R5:T5)</f>
        <v>200</v>
      </c>
      <c r="I123" s="417">
        <f>+AVERAGE('Theranos Market Assumptions'!I5:T5)</f>
        <v>80.909090909090907</v>
      </c>
      <c r="J123" s="417">
        <f>+AVERAGE('Theranos Market Assumptions'!U5:W5)</f>
        <v>400</v>
      </c>
      <c r="K123" s="417">
        <f>+AVERAGE('Theranos Market Assumptions'!X5:Z5)</f>
        <v>666.66666666666663</v>
      </c>
      <c r="L123" s="417">
        <f>+AVERAGE('Theranos Market Assumptions'!AA5:AC5)</f>
        <v>700</v>
      </c>
      <c r="M123" s="417">
        <f>+AVERAGE('Theranos Market Assumptions'!AD5:AF5)</f>
        <v>700</v>
      </c>
      <c r="N123" s="417">
        <f>+AVERAGE('Theranos Market Assumptions'!U5:AF5)</f>
        <v>616.66666666666663</v>
      </c>
      <c r="O123" s="320">
        <f>'Theranos Market Assumptions'!AF5+SUM(O127:O129)</f>
        <v>925</v>
      </c>
      <c r="P123" s="319">
        <f>O123+SUM(P127:P129)</f>
        <v>1375</v>
      </c>
      <c r="Q123" s="319">
        <f>P123+SUM(Q127:Q129)</f>
        <v>2175</v>
      </c>
      <c r="S123" s="293"/>
      <c r="T123" s="293"/>
      <c r="U123" s="293"/>
      <c r="V123" s="293"/>
    </row>
    <row r="124" spans="1:22" s="4" customFormat="1" x14ac:dyDescent="0.2">
      <c r="A124" s="299" t="s">
        <v>186</v>
      </c>
      <c r="E124" s="418">
        <v>10</v>
      </c>
      <c r="F124" s="418">
        <v>20</v>
      </c>
      <c r="G124" s="418">
        <v>120</v>
      </c>
      <c r="H124" s="418">
        <v>250</v>
      </c>
      <c r="I124" s="417">
        <f>+AVERAGE(E124:H124)</f>
        <v>100</v>
      </c>
      <c r="J124" s="319">
        <v>500</v>
      </c>
      <c r="K124" s="319">
        <v>700</v>
      </c>
      <c r="L124" s="319">
        <v>800</v>
      </c>
      <c r="M124" s="319">
        <v>850</v>
      </c>
      <c r="N124" s="320">
        <f>+AVERAGE(J124:M124)</f>
        <v>712.5</v>
      </c>
      <c r="O124" s="300">
        <f t="shared" ref="O124:Q124" si="77">$R$129*SUM(O127:O129)+N124</f>
        <v>1050</v>
      </c>
      <c r="P124" s="300">
        <f t="shared" si="77"/>
        <v>1725</v>
      </c>
      <c r="Q124" s="300">
        <f t="shared" si="77"/>
        <v>2925</v>
      </c>
      <c r="S124" s="293"/>
      <c r="T124" s="293"/>
      <c r="U124" s="293"/>
      <c r="V124" s="293"/>
    </row>
    <row r="125" spans="1:22" s="306" customFormat="1" x14ac:dyDescent="0.2">
      <c r="A125" s="299"/>
      <c r="I125" s="319"/>
      <c r="J125" s="319"/>
      <c r="K125" s="319"/>
      <c r="L125" s="319"/>
      <c r="M125" s="319"/>
      <c r="N125" s="319"/>
      <c r="O125" s="319"/>
      <c r="P125" s="319"/>
      <c r="Q125" s="319"/>
      <c r="S125" s="299"/>
      <c r="T125" s="299"/>
      <c r="U125" s="299"/>
      <c r="V125" s="299"/>
    </row>
    <row r="126" spans="1:22" s="306" customFormat="1" x14ac:dyDescent="0.2">
      <c r="A126" s="318" t="s">
        <v>2257</v>
      </c>
      <c r="I126" s="319"/>
      <c r="J126" s="319"/>
      <c r="K126" s="319"/>
      <c r="L126" s="319"/>
      <c r="M126" s="319"/>
      <c r="N126" s="319"/>
      <c r="O126" s="319"/>
      <c r="P126" s="319"/>
      <c r="Q126" s="319"/>
      <c r="S126" s="299"/>
      <c r="T126" s="299"/>
      <c r="U126" s="299"/>
      <c r="V126" s="299"/>
    </row>
    <row r="127" spans="1:22" s="4" customFormat="1" x14ac:dyDescent="0.2">
      <c r="A127" s="317" t="s">
        <v>238</v>
      </c>
      <c r="B127" s="306"/>
      <c r="C127" s="306"/>
      <c r="D127" s="306"/>
      <c r="E127" s="306"/>
      <c r="F127" s="306"/>
      <c r="G127" s="306"/>
      <c r="H127" s="306"/>
      <c r="I127" s="319"/>
      <c r="J127" s="319"/>
      <c r="K127" s="319"/>
      <c r="L127" s="319"/>
      <c r="M127" s="319"/>
      <c r="N127" s="320">
        <f>N123-I123</f>
        <v>535.75757575757575</v>
      </c>
      <c r="O127" s="319">
        <v>100</v>
      </c>
      <c r="P127" s="319">
        <v>100</v>
      </c>
      <c r="Q127" s="319">
        <v>100</v>
      </c>
      <c r="R127" s="322">
        <v>0</v>
      </c>
      <c r="S127" s="10" t="s">
        <v>185</v>
      </c>
      <c r="T127" s="293"/>
      <c r="U127" s="293"/>
      <c r="V127" s="293"/>
    </row>
    <row r="128" spans="1:22" s="4" customFormat="1" x14ac:dyDescent="0.2">
      <c r="A128" s="317" t="s">
        <v>239</v>
      </c>
      <c r="B128" s="306"/>
      <c r="C128" s="306"/>
      <c r="D128" s="306"/>
      <c r="E128" s="306"/>
      <c r="F128" s="306"/>
      <c r="G128" s="306"/>
      <c r="H128" s="306"/>
      <c r="I128" s="319"/>
      <c r="J128" s="319"/>
      <c r="K128" s="319"/>
      <c r="L128" s="319"/>
      <c r="M128" s="319"/>
      <c r="N128" s="319"/>
      <c r="O128" s="319">
        <v>100</v>
      </c>
      <c r="P128" s="319">
        <v>300</v>
      </c>
      <c r="Q128" s="319">
        <v>600</v>
      </c>
      <c r="R128" s="321">
        <v>1</v>
      </c>
      <c r="S128" s="10" t="s">
        <v>241</v>
      </c>
      <c r="T128" s="293"/>
      <c r="U128" s="293"/>
      <c r="V128" s="293"/>
    </row>
    <row r="129" spans="1:30" s="4" customFormat="1" x14ac:dyDescent="0.2">
      <c r="A129" s="317" t="s">
        <v>240</v>
      </c>
      <c r="B129" s="306"/>
      <c r="C129" s="306"/>
      <c r="D129" s="306"/>
      <c r="E129" s="306"/>
      <c r="F129" s="306"/>
      <c r="G129" s="306"/>
      <c r="H129" s="306"/>
      <c r="I129" s="319"/>
      <c r="J129" s="319"/>
      <c r="K129" s="319"/>
      <c r="L129" s="319"/>
      <c r="M129" s="319"/>
      <c r="N129" s="319"/>
      <c r="O129" s="319">
        <v>25</v>
      </c>
      <c r="P129" s="319">
        <v>50</v>
      </c>
      <c r="Q129" s="319">
        <v>100</v>
      </c>
      <c r="R129" s="323">
        <v>1.5</v>
      </c>
      <c r="S129" s="10" t="s">
        <v>186</v>
      </c>
      <c r="T129" s="293"/>
      <c r="U129" s="293"/>
      <c r="V129" s="293"/>
    </row>
    <row r="130" spans="1:30" s="289" customFormat="1" x14ac:dyDescent="0.2">
      <c r="S130" s="317"/>
      <c r="T130" s="317"/>
      <c r="U130" s="317"/>
      <c r="V130" s="317"/>
      <c r="W130" s="317"/>
      <c r="X130" s="317"/>
      <c r="Y130" s="317"/>
      <c r="Z130" s="317"/>
      <c r="AA130" s="317"/>
      <c r="AB130" s="317"/>
      <c r="AC130" s="317"/>
      <c r="AD130" s="317"/>
    </row>
    <row r="131" spans="1:30" s="289" customFormat="1" x14ac:dyDescent="0.2">
      <c r="A131" s="289" t="s">
        <v>189</v>
      </c>
      <c r="D131" s="412">
        <v>2</v>
      </c>
      <c r="E131" s="413"/>
      <c r="F131" s="413"/>
      <c r="G131" s="413"/>
      <c r="H131" s="413"/>
      <c r="S131" s="317"/>
      <c r="T131" s="317"/>
      <c r="U131" s="317"/>
      <c r="V131" s="317"/>
      <c r="W131" s="317"/>
      <c r="X131" s="317"/>
      <c r="Y131" s="317"/>
      <c r="Z131" s="414"/>
      <c r="AA131" s="414"/>
      <c r="AB131" s="414"/>
      <c r="AC131" s="317"/>
      <c r="AD131" s="317"/>
    </row>
    <row r="132" spans="1:30" s="289" customFormat="1" x14ac:dyDescent="0.2">
      <c r="A132" s="303" t="str">
        <f ca="1">+OFFSET(A132,$D$131,0)</f>
        <v>Base (Company)</v>
      </c>
      <c r="B132" s="304"/>
      <c r="C132" s="304"/>
      <c r="D132" s="304"/>
      <c r="E132" s="415">
        <f t="shared" ref="E132:Q132" ca="1" si="78">+OFFSET(E132,$D$131,0)</f>
        <v>17.924528301886792</v>
      </c>
      <c r="F132" s="415">
        <f t="shared" ca="1" si="78"/>
        <v>23.888888888888889</v>
      </c>
      <c r="G132" s="415">
        <f t="shared" ca="1" si="78"/>
        <v>24.999999999999996</v>
      </c>
      <c r="H132" s="415">
        <f t="shared" ca="1" si="78"/>
        <v>25</v>
      </c>
      <c r="I132" s="415">
        <f t="shared" ca="1" si="78"/>
        <v>24.827482748274825</v>
      </c>
      <c r="J132" s="415">
        <f t="shared" ca="1" si="78"/>
        <v>25</v>
      </c>
      <c r="K132" s="415">
        <f t="shared" ca="1" si="78"/>
        <v>25</v>
      </c>
      <c r="L132" s="415">
        <f t="shared" ca="1" si="78"/>
        <v>25</v>
      </c>
      <c r="M132" s="415">
        <f t="shared" ca="1" si="78"/>
        <v>25</v>
      </c>
      <c r="N132" s="415">
        <f t="shared" ca="1" si="78"/>
        <v>25</v>
      </c>
      <c r="O132" s="415">
        <f t="shared" ca="1" si="78"/>
        <v>25</v>
      </c>
      <c r="P132" s="415">
        <f t="shared" ca="1" si="78"/>
        <v>25</v>
      </c>
      <c r="Q132" s="416">
        <f t="shared" ca="1" si="78"/>
        <v>25</v>
      </c>
      <c r="S132" s="317"/>
      <c r="T132" s="317"/>
      <c r="U132" s="317"/>
      <c r="V132" s="317"/>
      <c r="W132" s="317"/>
      <c r="X132" s="317"/>
      <c r="Y132" s="317"/>
      <c r="Z132" s="419"/>
      <c r="AA132" s="419"/>
      <c r="AB132" s="419"/>
      <c r="AC132" s="317"/>
      <c r="AD132" s="317"/>
    </row>
    <row r="133" spans="1:30" s="4" customFormat="1" x14ac:dyDescent="0.2">
      <c r="A133" s="299" t="s">
        <v>185</v>
      </c>
      <c r="B133" s="306"/>
      <c r="C133" s="306"/>
      <c r="E133" s="400"/>
      <c r="F133" s="400"/>
      <c r="G133" s="400"/>
      <c r="H133" s="400"/>
      <c r="I133" s="409">
        <f>I134-5</f>
        <v>19.827482748274825</v>
      </c>
      <c r="J133" s="409"/>
      <c r="K133" s="409"/>
      <c r="L133" s="409"/>
      <c r="M133" s="409"/>
      <c r="N133" s="409">
        <f t="shared" ref="N133:Q133" si="79">N134-5</f>
        <v>20</v>
      </c>
      <c r="O133" s="300">
        <f t="shared" si="79"/>
        <v>20</v>
      </c>
      <c r="P133" s="300">
        <f t="shared" si="79"/>
        <v>20</v>
      </c>
      <c r="Q133" s="300">
        <f t="shared" si="79"/>
        <v>20</v>
      </c>
      <c r="S133" s="293"/>
      <c r="T133" s="293"/>
      <c r="U133" s="293"/>
      <c r="V133" s="293"/>
      <c r="W133" s="10"/>
      <c r="X133" s="293"/>
      <c r="Y133" s="293"/>
      <c r="Z133" s="305"/>
      <c r="AA133" s="305"/>
      <c r="AB133" s="305"/>
      <c r="AC133" s="293"/>
      <c r="AD133" s="293"/>
    </row>
    <row r="134" spans="1:30" s="4" customFormat="1" x14ac:dyDescent="0.2">
      <c r="A134" s="299" t="s">
        <v>187</v>
      </c>
      <c r="B134" s="306"/>
      <c r="C134" s="306"/>
      <c r="E134" s="417">
        <f>+AVERAGE('Theranos Market Assumptions'!I10:K10)/E117</f>
        <v>17.924528301886792</v>
      </c>
      <c r="F134" s="417">
        <f>+AVERAGE('Theranos Market Assumptions'!L10:N10)/F117</f>
        <v>23.888888888888889</v>
      </c>
      <c r="G134" s="417">
        <f>+AVERAGE('Theranos Market Assumptions'!O10:Q10)/G117</f>
        <v>24.999999999999996</v>
      </c>
      <c r="H134" s="417">
        <f>+AVERAGE('Theranos Market Assumptions'!R10:T10)/H117</f>
        <v>25</v>
      </c>
      <c r="I134" s="417">
        <f>+'Theranos Market Assumptions'!AG10/'Company Rev Model'!I117</f>
        <v>24.827482748274825</v>
      </c>
      <c r="J134" s="417">
        <f>+AVERAGE('Theranos Market Assumptions'!U7:W7)</f>
        <v>25</v>
      </c>
      <c r="K134" s="417">
        <f>+AVERAGE('Theranos Market Assumptions'!X7:Z7)</f>
        <v>25</v>
      </c>
      <c r="L134" s="417">
        <f>+AVERAGE('Theranos Market Assumptions'!AA7:AC7)</f>
        <v>25</v>
      </c>
      <c r="M134" s="417">
        <f>+AVERAGE('Theranos Market Assumptions'!AD7:AF7)</f>
        <v>25</v>
      </c>
      <c r="N134" s="417">
        <f>+AVERAGE('Theranos Market Assumptions'!U7:AF7)</f>
        <v>25</v>
      </c>
      <c r="O134" s="300">
        <f>+N134</f>
        <v>25</v>
      </c>
      <c r="P134" s="300">
        <f>+O134</f>
        <v>25</v>
      </c>
      <c r="Q134" s="300">
        <f>+P134</f>
        <v>25</v>
      </c>
      <c r="S134" s="293"/>
      <c r="T134" s="293"/>
      <c r="U134" s="293"/>
      <c r="V134" s="293"/>
      <c r="W134" s="10"/>
      <c r="X134" s="293"/>
      <c r="Y134" s="293"/>
      <c r="Z134" s="305"/>
      <c r="AA134" s="305"/>
      <c r="AB134" s="305"/>
      <c r="AC134" s="293"/>
      <c r="AD134" s="293"/>
    </row>
    <row r="135" spans="1:30" s="4" customFormat="1" x14ac:dyDescent="0.2">
      <c r="A135" s="299" t="s">
        <v>186</v>
      </c>
      <c r="B135" s="306"/>
      <c r="C135" s="306"/>
      <c r="E135" s="319">
        <f>E134+5</f>
        <v>22.924528301886792</v>
      </c>
      <c r="F135" s="319">
        <f>F134+5</f>
        <v>28.888888888888889</v>
      </c>
      <c r="G135" s="319">
        <f>G134+5</f>
        <v>29.999999999999996</v>
      </c>
      <c r="H135" s="319">
        <f>H134+5</f>
        <v>30</v>
      </c>
      <c r="I135" s="417">
        <f>+AVERAGE(E135:H135)</f>
        <v>27.95335429769392</v>
      </c>
      <c r="J135" s="319">
        <f t="shared" ref="J135:Q135" si="80">J134+5</f>
        <v>30</v>
      </c>
      <c r="K135" s="319">
        <f t="shared" si="80"/>
        <v>30</v>
      </c>
      <c r="L135" s="319">
        <f t="shared" si="80"/>
        <v>30</v>
      </c>
      <c r="M135" s="319">
        <f t="shared" si="80"/>
        <v>30</v>
      </c>
      <c r="N135" s="417">
        <f>+AVERAGE(J135:M135)</f>
        <v>30</v>
      </c>
      <c r="O135" s="300">
        <f t="shared" si="80"/>
        <v>30</v>
      </c>
      <c r="P135" s="300">
        <f t="shared" si="80"/>
        <v>30</v>
      </c>
      <c r="Q135" s="300">
        <f t="shared" si="80"/>
        <v>30</v>
      </c>
      <c r="S135" s="293"/>
      <c r="T135" s="293"/>
      <c r="U135" s="293"/>
      <c r="V135" s="293"/>
      <c r="W135" s="10"/>
      <c r="X135" s="293"/>
      <c r="Y135" s="293"/>
      <c r="Z135" s="10"/>
      <c r="AA135" s="10"/>
      <c r="AB135" s="10"/>
      <c r="AC135" s="293"/>
      <c r="AD135" s="293"/>
    </row>
    <row r="136" spans="1:30" s="289" customFormat="1" x14ac:dyDescent="0.2">
      <c r="S136" s="317"/>
      <c r="T136" s="317"/>
      <c r="U136" s="317"/>
      <c r="V136" s="317"/>
      <c r="W136" s="317"/>
      <c r="X136" s="317"/>
      <c r="Y136" s="317"/>
      <c r="Z136" s="317"/>
      <c r="AA136" s="317"/>
      <c r="AB136" s="317"/>
      <c r="AC136" s="317"/>
      <c r="AD136" s="317"/>
    </row>
    <row r="137" spans="1:30" s="289" customFormat="1" x14ac:dyDescent="0.2">
      <c r="A137" s="289" t="s">
        <v>190</v>
      </c>
      <c r="D137" s="412">
        <v>2</v>
      </c>
      <c r="E137" s="413"/>
      <c r="F137" s="413"/>
      <c r="G137" s="413"/>
      <c r="H137" s="413"/>
      <c r="S137" s="317"/>
      <c r="T137" s="317"/>
      <c r="U137" s="317"/>
      <c r="V137" s="317"/>
      <c r="W137" s="317"/>
      <c r="X137" s="317"/>
      <c r="Y137" s="317"/>
      <c r="Z137" s="317"/>
      <c r="AA137" s="317"/>
      <c r="AB137" s="317"/>
      <c r="AC137" s="317"/>
      <c r="AD137" s="317"/>
    </row>
    <row r="138" spans="1:30" s="289" customFormat="1" x14ac:dyDescent="0.2">
      <c r="A138" s="303" t="str">
        <f ca="1">+OFFSET(A138,$D$137,0)</f>
        <v>Base (Company)</v>
      </c>
      <c r="B138" s="304"/>
      <c r="C138" s="304"/>
      <c r="D138" s="304"/>
      <c r="E138" s="415">
        <f t="shared" ref="E138:Q138" ca="1" si="81">+OFFSET(E138,$D$137,0)</f>
        <v>0</v>
      </c>
      <c r="F138" s="415">
        <f t="shared" ca="1" si="81"/>
        <v>13.333333333333334</v>
      </c>
      <c r="G138" s="415">
        <f t="shared" ca="1" si="81"/>
        <v>20</v>
      </c>
      <c r="H138" s="415">
        <f t="shared" ca="1" si="81"/>
        <v>25</v>
      </c>
      <c r="I138" s="415">
        <f t="shared" ca="1" si="81"/>
        <v>21.423220973782772</v>
      </c>
      <c r="J138" s="415">
        <f t="shared" ca="1" si="81"/>
        <v>25</v>
      </c>
      <c r="K138" s="415">
        <f t="shared" ca="1" si="81"/>
        <v>25</v>
      </c>
      <c r="L138" s="415">
        <f t="shared" ca="1" si="81"/>
        <v>25</v>
      </c>
      <c r="M138" s="415">
        <f t="shared" ca="1" si="81"/>
        <v>25</v>
      </c>
      <c r="N138" s="415">
        <f t="shared" ca="1" si="81"/>
        <v>25</v>
      </c>
      <c r="O138" s="415">
        <f t="shared" ca="1" si="81"/>
        <v>25</v>
      </c>
      <c r="P138" s="415">
        <f t="shared" ca="1" si="81"/>
        <v>25</v>
      </c>
      <c r="Q138" s="416">
        <f t="shared" ca="1" si="81"/>
        <v>25</v>
      </c>
      <c r="S138" s="317"/>
      <c r="T138" s="317"/>
      <c r="U138" s="317"/>
      <c r="V138" s="317"/>
      <c r="W138" s="317"/>
      <c r="X138" s="317"/>
      <c r="Y138" s="317"/>
      <c r="Z138" s="317"/>
      <c r="AA138" s="317"/>
      <c r="AB138" s="317"/>
      <c r="AC138" s="317"/>
      <c r="AD138" s="317"/>
    </row>
    <row r="139" spans="1:30" s="4" customFormat="1" x14ac:dyDescent="0.2">
      <c r="A139" s="299" t="s">
        <v>185</v>
      </c>
      <c r="E139" s="400"/>
      <c r="F139" s="400"/>
      <c r="G139" s="400"/>
      <c r="H139" s="400"/>
      <c r="I139" s="409">
        <f>I140-5</f>
        <v>16.423220973782772</v>
      </c>
      <c r="J139" s="409"/>
      <c r="K139" s="409"/>
      <c r="L139" s="409"/>
      <c r="M139" s="409"/>
      <c r="N139" s="409">
        <f t="shared" ref="N139:Q139" si="82">N140-5</f>
        <v>20</v>
      </c>
      <c r="O139" s="300">
        <f t="shared" si="82"/>
        <v>20</v>
      </c>
      <c r="P139" s="300">
        <f t="shared" si="82"/>
        <v>20</v>
      </c>
      <c r="Q139" s="300">
        <f t="shared" si="82"/>
        <v>20</v>
      </c>
      <c r="S139" s="293"/>
      <c r="T139" s="293"/>
      <c r="U139" s="293"/>
      <c r="V139" s="293"/>
      <c r="W139" s="293"/>
      <c r="X139" s="293"/>
      <c r="Y139" s="293"/>
      <c r="Z139" s="293"/>
      <c r="AA139" s="293"/>
      <c r="AB139" s="293"/>
      <c r="AC139" s="293"/>
      <c r="AD139" s="293"/>
    </row>
    <row r="140" spans="1:30" s="4" customFormat="1" x14ac:dyDescent="0.2">
      <c r="A140" s="299" t="s">
        <v>187</v>
      </c>
      <c r="E140" s="417">
        <v>0</v>
      </c>
      <c r="F140" s="417">
        <f>+AVERAGE('Theranos Market Assumptions'!L12:N12)/F123</f>
        <v>13.333333333333334</v>
      </c>
      <c r="G140" s="417">
        <f>+AVERAGE('Theranos Market Assumptions'!O12:Q12)/G123</f>
        <v>20</v>
      </c>
      <c r="H140" s="417">
        <f>+AVERAGE('Theranos Market Assumptions'!R12:T12)/H123</f>
        <v>25</v>
      </c>
      <c r="I140" s="417">
        <f>+'Theranos Market Assumptions'!AG12/'Company Rev Model'!I123</f>
        <v>21.423220973782772</v>
      </c>
      <c r="J140" s="417">
        <f>+AVERAGE('Theranos Market Assumptions'!U9:W9)</f>
        <v>25</v>
      </c>
      <c r="K140" s="417">
        <f>+AVERAGE('Theranos Market Assumptions'!X9:Z9)</f>
        <v>25</v>
      </c>
      <c r="L140" s="417">
        <f>+AVERAGE('Theranos Market Assumptions'!AA9:AC9)</f>
        <v>25</v>
      </c>
      <c r="M140" s="417">
        <f>+AVERAGE('Theranos Market Assumptions'!AD9:AF9)</f>
        <v>25</v>
      </c>
      <c r="N140" s="417">
        <f>+AVERAGE('Theranos Market Assumptions'!U9:AF9)</f>
        <v>25</v>
      </c>
      <c r="O140" s="300">
        <f>+N140</f>
        <v>25</v>
      </c>
      <c r="P140" s="300">
        <f t="shared" ref="P140:Q140" si="83">+O140</f>
        <v>25</v>
      </c>
      <c r="Q140" s="300">
        <f t="shared" si="83"/>
        <v>25</v>
      </c>
      <c r="S140" s="293"/>
      <c r="T140" s="293"/>
      <c r="U140" s="293"/>
      <c r="V140" s="293"/>
      <c r="W140" s="293"/>
      <c r="X140" s="293"/>
      <c r="Y140" s="293"/>
      <c r="Z140" s="293"/>
      <c r="AA140" s="293"/>
      <c r="AB140" s="293"/>
      <c r="AC140" s="293"/>
      <c r="AD140" s="293"/>
    </row>
    <row r="141" spans="1:30" s="4" customFormat="1" x14ac:dyDescent="0.2">
      <c r="A141" s="299" t="s">
        <v>186</v>
      </c>
      <c r="E141" s="319">
        <v>0</v>
      </c>
      <c r="F141" s="319">
        <f>F140+5</f>
        <v>18.333333333333336</v>
      </c>
      <c r="G141" s="319">
        <f>G140+5</f>
        <v>25</v>
      </c>
      <c r="H141" s="319">
        <f>H140+5</f>
        <v>30</v>
      </c>
      <c r="I141" s="417">
        <f>+AVERAGE(E141:H141)</f>
        <v>18.333333333333336</v>
      </c>
      <c r="J141" s="319">
        <f>+J140+5</f>
        <v>30</v>
      </c>
      <c r="K141" s="319">
        <f t="shared" ref="K141:M141" si="84">+K140+5</f>
        <v>30</v>
      </c>
      <c r="L141" s="319">
        <f t="shared" si="84"/>
        <v>30</v>
      </c>
      <c r="M141" s="319">
        <f t="shared" si="84"/>
        <v>30</v>
      </c>
      <c r="N141" s="320">
        <f>+AVERAGE(J141:M141)</f>
        <v>30</v>
      </c>
      <c r="O141" s="300">
        <f t="shared" ref="O141:Q141" si="85">O140+5</f>
        <v>30</v>
      </c>
      <c r="P141" s="300">
        <f t="shared" si="85"/>
        <v>30</v>
      </c>
      <c r="Q141" s="300">
        <f t="shared" si="85"/>
        <v>30</v>
      </c>
      <c r="W141" s="293"/>
      <c r="X141" s="293"/>
      <c r="Y141" s="293"/>
      <c r="Z141" s="293"/>
      <c r="AA141" s="293"/>
      <c r="AB141" s="293"/>
      <c r="AC141" s="293"/>
      <c r="AD141" s="293"/>
    </row>
    <row r="142" spans="1:30" s="289" customFormat="1" x14ac:dyDescent="0.2">
      <c r="W142" s="317"/>
      <c r="X142" s="317"/>
      <c r="Y142" s="317"/>
      <c r="Z142" s="317"/>
      <c r="AA142" s="317"/>
      <c r="AB142" s="317"/>
      <c r="AC142" s="317"/>
      <c r="AD142" s="317"/>
    </row>
    <row r="143" spans="1:30" s="289" customFormat="1" x14ac:dyDescent="0.2">
      <c r="A143" s="307" t="s">
        <v>191</v>
      </c>
      <c r="W143" s="317"/>
      <c r="X143" s="317"/>
      <c r="Y143" s="317"/>
      <c r="Z143" s="317"/>
      <c r="AA143" s="317"/>
      <c r="AB143" s="317"/>
      <c r="AC143" s="317"/>
      <c r="AD143" s="317"/>
    </row>
    <row r="144" spans="1:30" s="289" customFormat="1" x14ac:dyDescent="0.2"/>
    <row r="145" spans="1:17" s="289" customFormat="1" x14ac:dyDescent="0.2">
      <c r="A145" s="289" t="s">
        <v>191</v>
      </c>
      <c r="D145" s="412">
        <v>2</v>
      </c>
      <c r="E145" s="413"/>
      <c r="F145" s="413"/>
      <c r="G145" s="413"/>
      <c r="H145" s="413"/>
    </row>
    <row r="146" spans="1:17" s="289" customFormat="1" x14ac:dyDescent="0.2">
      <c r="A146" s="303" t="str">
        <f ca="1">+OFFSET(A146,$D$145,0)</f>
        <v>Base (Company)</v>
      </c>
      <c r="B146" s="304"/>
      <c r="C146" s="304"/>
      <c r="D146" s="304"/>
      <c r="E146" s="415">
        <f t="shared" ref="E146:Q146" ca="1" si="86">+OFFSET(E146,$D$145,0)</f>
        <v>13.333333333333334</v>
      </c>
      <c r="F146" s="415">
        <f t="shared" ca="1" si="86"/>
        <v>120</v>
      </c>
      <c r="G146" s="415">
        <f t="shared" ca="1" si="86"/>
        <v>433.33333333333331</v>
      </c>
      <c r="H146" s="415">
        <f t="shared" ca="1" si="86"/>
        <v>1000</v>
      </c>
      <c r="I146" s="415">
        <f t="shared" ca="1" si="86"/>
        <v>391.66666666666669</v>
      </c>
      <c r="J146" s="415">
        <f t="shared" ca="1" si="86"/>
        <v>1400</v>
      </c>
      <c r="K146" s="415">
        <f t="shared" ca="1" si="86"/>
        <v>1700</v>
      </c>
      <c r="L146" s="415">
        <f t="shared" ca="1" si="86"/>
        <v>2000</v>
      </c>
      <c r="M146" s="415">
        <f t="shared" ca="1" si="86"/>
        <v>2300</v>
      </c>
      <c r="N146" s="415">
        <f t="shared" ca="1" si="86"/>
        <v>1850</v>
      </c>
      <c r="O146" s="415">
        <f t="shared" ca="1" si="86"/>
        <v>3600</v>
      </c>
      <c r="P146" s="415">
        <f t="shared" ca="1" si="86"/>
        <v>4800</v>
      </c>
      <c r="Q146" s="416">
        <f t="shared" ca="1" si="86"/>
        <v>5600</v>
      </c>
    </row>
    <row r="147" spans="1:17" s="4" customFormat="1" x14ac:dyDescent="0.2">
      <c r="A147" s="299" t="s">
        <v>185</v>
      </c>
      <c r="E147" s="400"/>
      <c r="F147" s="400"/>
      <c r="G147" s="400"/>
      <c r="H147" s="400"/>
      <c r="I147" s="409">
        <f>+I148-50</f>
        <v>341.66666666666669</v>
      </c>
      <c r="J147" s="409"/>
      <c r="K147" s="409"/>
      <c r="L147" s="409"/>
      <c r="M147" s="409"/>
      <c r="N147" s="409">
        <f>+N148-100</f>
        <v>1750</v>
      </c>
      <c r="O147" s="300">
        <f>+O148-1000</f>
        <v>2600</v>
      </c>
      <c r="P147" s="300">
        <f t="shared" ref="P147:Q147" si="87">+P148-1000</f>
        <v>3800</v>
      </c>
      <c r="Q147" s="300">
        <f t="shared" si="87"/>
        <v>4600</v>
      </c>
    </row>
    <row r="148" spans="1:17" s="4" customFormat="1" x14ac:dyDescent="0.2">
      <c r="A148" s="299" t="s">
        <v>187</v>
      </c>
      <c r="E148" s="417">
        <f>+AVERAGE('Theranos Market Assumptions'!I22:K22)</f>
        <v>13.333333333333334</v>
      </c>
      <c r="F148" s="417">
        <f>+AVERAGE('Theranos Market Assumptions'!L22:N22)</f>
        <v>120</v>
      </c>
      <c r="G148" s="417">
        <f>+AVERAGE('Theranos Market Assumptions'!O22:Q22)</f>
        <v>433.33333333333331</v>
      </c>
      <c r="H148" s="417">
        <f>+AVERAGE('Theranos Market Assumptions'!R22:T22)</f>
        <v>1000</v>
      </c>
      <c r="I148" s="417">
        <f>AVERAGE('Theranos Market Assumptions'!I22:T22)</f>
        <v>391.66666666666669</v>
      </c>
      <c r="J148" s="417">
        <f>+AVERAGE('Theranos Market Assumptions'!U22:W22)</f>
        <v>1400</v>
      </c>
      <c r="K148" s="417">
        <f>+AVERAGE('Theranos Market Assumptions'!X22:Z22)</f>
        <v>1700</v>
      </c>
      <c r="L148" s="417">
        <f>+AVERAGE('Theranos Market Assumptions'!AA22:AC22)</f>
        <v>2000</v>
      </c>
      <c r="M148" s="417">
        <f>+AVERAGE('Theranos Market Assumptions'!AD22:AF22)</f>
        <v>2300</v>
      </c>
      <c r="N148" s="417">
        <f>AVERAGE('Theranos Market Assumptions'!U22:AF22)</f>
        <v>1850</v>
      </c>
      <c r="O148" s="302">
        <f>'Theranos Market Assumptions'!AF22+1200</f>
        <v>3600</v>
      </c>
      <c r="P148" s="300">
        <f>O148+1200</f>
        <v>4800</v>
      </c>
      <c r="Q148" s="300">
        <f>P148+800</f>
        <v>5600</v>
      </c>
    </row>
    <row r="149" spans="1:17" s="4" customFormat="1" x14ac:dyDescent="0.2">
      <c r="A149" s="299" t="s">
        <v>186</v>
      </c>
      <c r="E149" s="418">
        <v>25</v>
      </c>
      <c r="F149" s="418">
        <v>150</v>
      </c>
      <c r="G149" s="418">
        <v>500</v>
      </c>
      <c r="H149" s="418">
        <v>1250</v>
      </c>
      <c r="I149" s="417">
        <f>+AVERAGE(E149:H149)</f>
        <v>481.25</v>
      </c>
      <c r="J149" s="319">
        <f>+J148+200</f>
        <v>1600</v>
      </c>
      <c r="K149" s="319">
        <f t="shared" ref="K149:M149" si="88">+K148+200</f>
        <v>1900</v>
      </c>
      <c r="L149" s="319">
        <f t="shared" si="88"/>
        <v>2200</v>
      </c>
      <c r="M149" s="319">
        <f t="shared" si="88"/>
        <v>2500</v>
      </c>
      <c r="N149" s="320">
        <f>+AVERAGE(J149:M149)</f>
        <v>2050</v>
      </c>
      <c r="O149" s="300">
        <f>+O148+500</f>
        <v>4100</v>
      </c>
      <c r="P149" s="300">
        <f t="shared" ref="P149:Q149" si="89">+P148+500</f>
        <v>5300</v>
      </c>
      <c r="Q149" s="300">
        <f t="shared" si="89"/>
        <v>6100</v>
      </c>
    </row>
    <row r="150" spans="1:17" s="289" customFormat="1" x14ac:dyDescent="0.2"/>
    <row r="151" spans="1:17" s="289" customFormat="1" x14ac:dyDescent="0.2">
      <c r="A151" s="289" t="s">
        <v>197</v>
      </c>
      <c r="D151" s="412">
        <v>2</v>
      </c>
      <c r="E151" s="413"/>
      <c r="F151" s="413"/>
      <c r="G151" s="413"/>
      <c r="H151" s="413"/>
    </row>
    <row r="152" spans="1:17" s="289" customFormat="1" x14ac:dyDescent="0.2">
      <c r="A152" s="303" t="str">
        <f ca="1">+OFFSET(A152,$D$151,0)</f>
        <v>Base (Company)</v>
      </c>
      <c r="B152" s="304"/>
      <c r="C152" s="304"/>
      <c r="D152" s="304"/>
      <c r="E152" s="304">
        <f t="shared" ref="E152:Q152" ca="1" si="90">+OFFSET(E152,$D$151,0)</f>
        <v>20</v>
      </c>
      <c r="F152" s="304">
        <f t="shared" ca="1" si="90"/>
        <v>20</v>
      </c>
      <c r="G152" s="304">
        <f t="shared" ca="1" si="90"/>
        <v>20</v>
      </c>
      <c r="H152" s="304">
        <f t="shared" ca="1" si="90"/>
        <v>20</v>
      </c>
      <c r="I152" s="304">
        <f t="shared" ca="1" si="90"/>
        <v>20</v>
      </c>
      <c r="J152" s="304">
        <f t="shared" ca="1" si="90"/>
        <v>20</v>
      </c>
      <c r="K152" s="304">
        <f t="shared" ca="1" si="90"/>
        <v>20</v>
      </c>
      <c r="L152" s="304">
        <f t="shared" ca="1" si="90"/>
        <v>20</v>
      </c>
      <c r="M152" s="304">
        <f t="shared" ca="1" si="90"/>
        <v>20</v>
      </c>
      <c r="N152" s="304">
        <f t="shared" ca="1" si="90"/>
        <v>20</v>
      </c>
      <c r="O152" s="304">
        <f t="shared" ca="1" si="90"/>
        <v>20</v>
      </c>
      <c r="P152" s="304">
        <f t="shared" ca="1" si="90"/>
        <v>20</v>
      </c>
      <c r="Q152" s="420">
        <f t="shared" ca="1" si="90"/>
        <v>20</v>
      </c>
    </row>
    <row r="153" spans="1:17" s="4" customFormat="1" x14ac:dyDescent="0.2">
      <c r="A153" s="299" t="s">
        <v>185</v>
      </c>
      <c r="E153" s="418">
        <f>+E154-5</f>
        <v>15</v>
      </c>
      <c r="F153" s="418">
        <f>+F154-5</f>
        <v>15</v>
      </c>
      <c r="G153" s="418">
        <f>+G154-5</f>
        <v>15</v>
      </c>
      <c r="H153" s="418">
        <f>+H154-5</f>
        <v>15</v>
      </c>
      <c r="I153" s="417">
        <f>+AVERAGE(E153:H153)</f>
        <v>15</v>
      </c>
      <c r="J153" s="418">
        <f t="shared" ref="J153:Q153" si="91">+J154-5</f>
        <v>15</v>
      </c>
      <c r="K153" s="418">
        <f t="shared" si="91"/>
        <v>15</v>
      </c>
      <c r="L153" s="418">
        <f t="shared" si="91"/>
        <v>15</v>
      </c>
      <c r="M153" s="418">
        <f t="shared" si="91"/>
        <v>15</v>
      </c>
      <c r="N153" s="417">
        <f>+AVERAGE(J153:M153)</f>
        <v>15</v>
      </c>
      <c r="O153" s="308">
        <f t="shared" si="91"/>
        <v>15</v>
      </c>
      <c r="P153" s="308">
        <f t="shared" si="91"/>
        <v>15</v>
      </c>
      <c r="Q153" s="308">
        <f t="shared" si="91"/>
        <v>15</v>
      </c>
    </row>
    <row r="154" spans="1:17" s="4" customFormat="1" x14ac:dyDescent="0.2">
      <c r="A154" s="299" t="s">
        <v>187</v>
      </c>
      <c r="E154" s="306">
        <v>20</v>
      </c>
      <c r="F154" s="306">
        <v>20</v>
      </c>
      <c r="G154" s="306">
        <v>20</v>
      </c>
      <c r="H154" s="306">
        <v>20</v>
      </c>
      <c r="I154" s="306">
        <v>20</v>
      </c>
      <c r="J154" s="306">
        <v>20</v>
      </c>
      <c r="K154" s="306">
        <v>20</v>
      </c>
      <c r="L154" s="306">
        <v>20</v>
      </c>
      <c r="M154" s="306">
        <v>20</v>
      </c>
      <c r="N154" s="306">
        <v>20</v>
      </c>
      <c r="O154" s="4">
        <v>20</v>
      </c>
      <c r="P154" s="4">
        <v>20</v>
      </c>
      <c r="Q154" s="4">
        <v>20</v>
      </c>
    </row>
    <row r="155" spans="1:17" s="4" customFormat="1" x14ac:dyDescent="0.2">
      <c r="A155" s="299" t="s">
        <v>186</v>
      </c>
      <c r="E155" s="418">
        <f>E154+5</f>
        <v>25</v>
      </c>
      <c r="F155" s="418">
        <f>F154+5</f>
        <v>25</v>
      </c>
      <c r="G155" s="418">
        <f>G154+5</f>
        <v>25</v>
      </c>
      <c r="H155" s="418">
        <f>H154+5</f>
        <v>25</v>
      </c>
      <c r="I155" s="417">
        <f>+AVERAGE(E155:H155)</f>
        <v>25</v>
      </c>
      <c r="J155" s="418">
        <f>J154+5</f>
        <v>25</v>
      </c>
      <c r="K155" s="418">
        <f>K154+5</f>
        <v>25</v>
      </c>
      <c r="L155" s="418">
        <f>L154+5</f>
        <v>25</v>
      </c>
      <c r="M155" s="418">
        <f>M154+5</f>
        <v>25</v>
      </c>
      <c r="N155" s="417">
        <f>+AVERAGE(J155:M155)</f>
        <v>25</v>
      </c>
      <c r="O155" s="308">
        <f t="shared" ref="O155:Q155" si="92">O154+5</f>
        <v>25</v>
      </c>
      <c r="P155" s="308">
        <f t="shared" si="92"/>
        <v>25</v>
      </c>
      <c r="Q155" s="308">
        <f t="shared" si="92"/>
        <v>25</v>
      </c>
    </row>
    <row r="156" spans="1:17" s="289" customFormat="1" x14ac:dyDescent="0.2"/>
    <row r="157" spans="1:17" s="289" customFormat="1" x14ac:dyDescent="0.2">
      <c r="A157" s="307" t="s">
        <v>195</v>
      </c>
    </row>
    <row r="158" spans="1:17" s="289" customFormat="1" x14ac:dyDescent="0.2"/>
    <row r="159" spans="1:17" s="289" customFormat="1" x14ac:dyDescent="0.2">
      <c r="A159" s="289" t="s">
        <v>199</v>
      </c>
      <c r="D159" s="412">
        <v>2</v>
      </c>
      <c r="E159" s="413"/>
      <c r="F159" s="413"/>
      <c r="G159" s="413"/>
      <c r="H159" s="413"/>
    </row>
    <row r="160" spans="1:17" s="289" customFormat="1" x14ac:dyDescent="0.2">
      <c r="A160" s="303" t="str">
        <f ca="1">+OFFSET(A160,$D$159,0)</f>
        <v>Base (Company)</v>
      </c>
      <c r="B160" s="304"/>
      <c r="C160" s="304"/>
      <c r="D160" s="304"/>
      <c r="E160" s="415">
        <f t="shared" ref="E160:Q160" ca="1" si="93">+OFFSET(E160,$D$159,0)</f>
        <v>0</v>
      </c>
      <c r="F160" s="415">
        <f t="shared" ca="1" si="93"/>
        <v>26.666666666666668</v>
      </c>
      <c r="G160" s="415">
        <f t="shared" ca="1" si="93"/>
        <v>90</v>
      </c>
      <c r="H160" s="415">
        <f t="shared" ca="1" si="93"/>
        <v>150</v>
      </c>
      <c r="I160" s="415">
        <f t="shared" ca="1" si="93"/>
        <v>66.666666666666671</v>
      </c>
      <c r="J160" s="304">
        <f t="shared" ca="1" si="93"/>
        <v>210</v>
      </c>
      <c r="K160" s="304">
        <f t="shared" ca="1" si="93"/>
        <v>270</v>
      </c>
      <c r="L160" s="304">
        <f t="shared" ca="1" si="93"/>
        <v>330</v>
      </c>
      <c r="M160" s="304">
        <f t="shared" ca="1" si="93"/>
        <v>390</v>
      </c>
      <c r="N160" s="304">
        <f t="shared" ca="1" si="93"/>
        <v>300</v>
      </c>
      <c r="O160" s="304">
        <f t="shared" ca="1" si="93"/>
        <v>460</v>
      </c>
      <c r="P160" s="304">
        <f t="shared" ca="1" si="93"/>
        <v>510</v>
      </c>
      <c r="Q160" s="420">
        <f t="shared" ca="1" si="93"/>
        <v>560</v>
      </c>
    </row>
    <row r="161" spans="1:17" s="4" customFormat="1" x14ac:dyDescent="0.2">
      <c r="A161" s="299" t="s">
        <v>185</v>
      </c>
      <c r="E161" s="319">
        <v>0</v>
      </c>
      <c r="F161" s="319">
        <v>10</v>
      </c>
      <c r="G161" s="319">
        <f>+G162-25</f>
        <v>65</v>
      </c>
      <c r="H161" s="319">
        <f>+H162-25</f>
        <v>125</v>
      </c>
      <c r="I161" s="320">
        <f>+AVERAGE(E161:H161)</f>
        <v>50</v>
      </c>
      <c r="J161" s="319">
        <f>+J162-50</f>
        <v>160</v>
      </c>
      <c r="K161" s="319">
        <f t="shared" ref="K161:M161" si="94">+K162-50</f>
        <v>220</v>
      </c>
      <c r="L161" s="319">
        <f t="shared" si="94"/>
        <v>280</v>
      </c>
      <c r="M161" s="319">
        <f t="shared" si="94"/>
        <v>340</v>
      </c>
      <c r="N161" s="417">
        <f>+AVERAGE(J161:M161)</f>
        <v>250</v>
      </c>
      <c r="O161" s="308">
        <f>+O162-100</f>
        <v>360</v>
      </c>
      <c r="P161" s="308">
        <f t="shared" ref="P161:Q161" si="95">+P162-100</f>
        <v>410</v>
      </c>
      <c r="Q161" s="308">
        <f t="shared" si="95"/>
        <v>460</v>
      </c>
    </row>
    <row r="162" spans="1:17" s="4" customFormat="1" x14ac:dyDescent="0.2">
      <c r="A162" s="299" t="s">
        <v>187</v>
      </c>
      <c r="E162" s="417">
        <f>+AVERAGE('Theranos Market Assumptions'!I26:K26)</f>
        <v>0</v>
      </c>
      <c r="F162" s="417">
        <f>+AVERAGE('Theranos Market Assumptions'!L26:N26)</f>
        <v>26.666666666666668</v>
      </c>
      <c r="G162" s="417">
        <f>+AVERAGE('Theranos Market Assumptions'!O26:Q26)</f>
        <v>90</v>
      </c>
      <c r="H162" s="417">
        <f>+AVERAGE('Theranos Market Assumptions'!R26:T26)</f>
        <v>150</v>
      </c>
      <c r="I162" s="417">
        <f>AVERAGE('Theranos Market Assumptions'!I26:T26)</f>
        <v>66.666666666666671</v>
      </c>
      <c r="J162" s="417">
        <f>+AVERAGE('Theranos Market Assumptions'!U26:W26)</f>
        <v>210</v>
      </c>
      <c r="K162" s="417">
        <f>+AVERAGE('Theranos Market Assumptions'!X26:Z26)</f>
        <v>270</v>
      </c>
      <c r="L162" s="417">
        <f>+AVERAGE('Theranos Market Assumptions'!AA26:AC26)</f>
        <v>330</v>
      </c>
      <c r="M162" s="417">
        <f>+AVERAGE('Theranos Market Assumptions'!AD26:AF26)</f>
        <v>390</v>
      </c>
      <c r="N162" s="306">
        <f>AVERAGE('Theranos Market Assumptions'!U26:AF26)</f>
        <v>300</v>
      </c>
      <c r="O162" s="309">
        <f>'Theranos Market Assumptions'!AF26+50</f>
        <v>460</v>
      </c>
      <c r="P162" s="309">
        <f>O162+50</f>
        <v>510</v>
      </c>
      <c r="Q162" s="309">
        <f>P162+50</f>
        <v>560</v>
      </c>
    </row>
    <row r="163" spans="1:17" s="4" customFormat="1" x14ac:dyDescent="0.2">
      <c r="A163" s="299" t="s">
        <v>186</v>
      </c>
      <c r="E163" s="320">
        <f>+E162+25</f>
        <v>25</v>
      </c>
      <c r="F163" s="320">
        <f>+F162+25</f>
        <v>51.666666666666671</v>
      </c>
      <c r="G163" s="320">
        <f>+G162+25</f>
        <v>115</v>
      </c>
      <c r="H163" s="320">
        <f>+H162+25</f>
        <v>175</v>
      </c>
      <c r="I163" s="320">
        <f>+AVERAGE(E163:H163)</f>
        <v>91.666666666666671</v>
      </c>
      <c r="J163" s="319">
        <f>+J162+50</f>
        <v>260</v>
      </c>
      <c r="K163" s="319">
        <f t="shared" ref="K163:M163" si="96">+K162+50</f>
        <v>320</v>
      </c>
      <c r="L163" s="319">
        <f t="shared" si="96"/>
        <v>380</v>
      </c>
      <c r="M163" s="319">
        <f t="shared" si="96"/>
        <v>440</v>
      </c>
      <c r="N163" s="417">
        <f>+AVERAGE(J163:M163)</f>
        <v>350</v>
      </c>
      <c r="O163" s="308">
        <f>+O162+100</f>
        <v>560</v>
      </c>
      <c r="P163" s="308">
        <f t="shared" ref="P163:Q163" si="97">+P162+100</f>
        <v>610</v>
      </c>
      <c r="Q163" s="308">
        <f t="shared" si="97"/>
        <v>660</v>
      </c>
    </row>
    <row r="164" spans="1:17" s="289" customFormat="1" x14ac:dyDescent="0.2"/>
    <row r="165" spans="1:17" s="289" customFormat="1" x14ac:dyDescent="0.2">
      <c r="A165" s="289" t="s">
        <v>197</v>
      </c>
      <c r="D165" s="412">
        <v>2</v>
      </c>
      <c r="E165" s="413"/>
      <c r="F165" s="413"/>
      <c r="G165" s="413"/>
      <c r="H165" s="413"/>
    </row>
    <row r="166" spans="1:17" s="289" customFormat="1" x14ac:dyDescent="0.2">
      <c r="A166" s="303" t="str">
        <f ca="1">+OFFSET(A166,$D$165,0)</f>
        <v>Base (Company)</v>
      </c>
      <c r="B166" s="304"/>
      <c r="C166" s="304"/>
      <c r="D166" s="304"/>
      <c r="E166" s="304">
        <f t="shared" ref="E166:Q166" ca="1" si="98">+OFFSET(E166,$D$165,0)</f>
        <v>50</v>
      </c>
      <c r="F166" s="304">
        <f t="shared" ca="1" si="98"/>
        <v>50</v>
      </c>
      <c r="G166" s="304">
        <f t="shared" ca="1" si="98"/>
        <v>50</v>
      </c>
      <c r="H166" s="304">
        <f t="shared" ca="1" si="98"/>
        <v>50</v>
      </c>
      <c r="I166" s="304">
        <f t="shared" ca="1" si="98"/>
        <v>50</v>
      </c>
      <c r="J166" s="304">
        <f t="shared" ca="1" si="98"/>
        <v>50</v>
      </c>
      <c r="K166" s="304">
        <f t="shared" ca="1" si="98"/>
        <v>50</v>
      </c>
      <c r="L166" s="304">
        <f t="shared" ca="1" si="98"/>
        <v>50</v>
      </c>
      <c r="M166" s="304">
        <f t="shared" ca="1" si="98"/>
        <v>50</v>
      </c>
      <c r="N166" s="304">
        <f t="shared" ca="1" si="98"/>
        <v>50</v>
      </c>
      <c r="O166" s="304">
        <f t="shared" ca="1" si="98"/>
        <v>50</v>
      </c>
      <c r="P166" s="304">
        <f t="shared" ca="1" si="98"/>
        <v>50</v>
      </c>
      <c r="Q166" s="420">
        <f t="shared" ca="1" si="98"/>
        <v>50</v>
      </c>
    </row>
    <row r="167" spans="1:17" s="4" customFormat="1" x14ac:dyDescent="0.2">
      <c r="A167" s="299" t="s">
        <v>185</v>
      </c>
      <c r="E167" s="418">
        <f>+E168-10</f>
        <v>40</v>
      </c>
      <c r="F167" s="418">
        <f t="shared" ref="F167:H167" si="99">+F168-10</f>
        <v>40</v>
      </c>
      <c r="G167" s="418">
        <f t="shared" si="99"/>
        <v>40</v>
      </c>
      <c r="H167" s="418">
        <f t="shared" si="99"/>
        <v>40</v>
      </c>
      <c r="I167" s="417">
        <f>+AVERAGE(E167:H167)</f>
        <v>40</v>
      </c>
      <c r="J167" s="418">
        <f>+J168-10</f>
        <v>40</v>
      </c>
      <c r="K167" s="418">
        <f t="shared" ref="K167:M167" si="100">+K168-10</f>
        <v>40</v>
      </c>
      <c r="L167" s="418">
        <f t="shared" si="100"/>
        <v>40</v>
      </c>
      <c r="M167" s="418">
        <f t="shared" si="100"/>
        <v>40</v>
      </c>
      <c r="N167" s="417">
        <f>+AVERAGE(J167:M167)</f>
        <v>40</v>
      </c>
      <c r="O167" s="308">
        <f t="shared" ref="O167:Q167" si="101">O168-10</f>
        <v>40</v>
      </c>
      <c r="P167" s="308">
        <f t="shared" si="101"/>
        <v>40</v>
      </c>
      <c r="Q167" s="308">
        <f t="shared" si="101"/>
        <v>40</v>
      </c>
    </row>
    <row r="168" spans="1:17" s="4" customFormat="1" x14ac:dyDescent="0.2">
      <c r="A168" s="299" t="s">
        <v>187</v>
      </c>
      <c r="E168" s="306">
        <v>50</v>
      </c>
      <c r="F168" s="306">
        <v>50</v>
      </c>
      <c r="G168" s="306">
        <v>50</v>
      </c>
      <c r="H168" s="306">
        <v>50</v>
      </c>
      <c r="I168" s="306">
        <v>50</v>
      </c>
      <c r="J168" s="306">
        <v>50</v>
      </c>
      <c r="K168" s="306">
        <v>50</v>
      </c>
      <c r="L168" s="306">
        <v>50</v>
      </c>
      <c r="M168" s="306">
        <v>50</v>
      </c>
      <c r="N168" s="306">
        <v>50</v>
      </c>
      <c r="O168" s="4">
        <v>50</v>
      </c>
      <c r="P168" s="4">
        <v>50</v>
      </c>
      <c r="Q168" s="4">
        <v>50</v>
      </c>
    </row>
    <row r="169" spans="1:17" s="4" customFormat="1" x14ac:dyDescent="0.2">
      <c r="A169" s="299" t="s">
        <v>186</v>
      </c>
      <c r="E169" s="418">
        <f>E168+10</f>
        <v>60</v>
      </c>
      <c r="F169" s="418">
        <f>F168+10</f>
        <v>60</v>
      </c>
      <c r="G169" s="418">
        <f>G168+10</f>
        <v>60</v>
      </c>
      <c r="H169" s="418">
        <f>H168+10</f>
        <v>60</v>
      </c>
      <c r="I169" s="417">
        <f>+AVERAGE(E169:H169)</f>
        <v>60</v>
      </c>
      <c r="J169" s="418">
        <f>J168+10</f>
        <v>60</v>
      </c>
      <c r="K169" s="418">
        <f>K168+10</f>
        <v>60</v>
      </c>
      <c r="L169" s="418">
        <f>L168+10</f>
        <v>60</v>
      </c>
      <c r="M169" s="418">
        <f>M168+10</f>
        <v>60</v>
      </c>
      <c r="N169" s="417">
        <f>+AVERAGE(J169:M169)</f>
        <v>60</v>
      </c>
      <c r="O169" s="308">
        <f t="shared" ref="O169:Q169" si="102">O168+10</f>
        <v>60</v>
      </c>
      <c r="P169" s="308">
        <f t="shared" si="102"/>
        <v>60</v>
      </c>
      <c r="Q169" s="308">
        <f t="shared" si="102"/>
        <v>60</v>
      </c>
    </row>
    <row r="170" spans="1:17" s="289" customFormat="1" x14ac:dyDescent="0.2"/>
    <row r="171" spans="1:17" s="289" customFormat="1" x14ac:dyDescent="0.2">
      <c r="A171" s="307" t="s">
        <v>198</v>
      </c>
    </row>
    <row r="172" spans="1:17" s="289" customFormat="1" x14ac:dyDescent="0.2"/>
    <row r="173" spans="1:17" s="289" customFormat="1" x14ac:dyDescent="0.2">
      <c r="A173" s="289" t="s">
        <v>199</v>
      </c>
      <c r="D173" s="412">
        <v>2</v>
      </c>
      <c r="E173" s="413"/>
      <c r="F173" s="413"/>
      <c r="G173" s="413"/>
      <c r="H173" s="413"/>
    </row>
    <row r="174" spans="1:17" s="289" customFormat="1" x14ac:dyDescent="0.2">
      <c r="A174" s="303" t="str">
        <f ca="1">+OFFSET(A174,$D$173,0)</f>
        <v>Base (Company)</v>
      </c>
      <c r="B174" s="304"/>
      <c r="C174" s="304"/>
      <c r="D174" s="304"/>
      <c r="E174" s="421">
        <f t="shared" ref="E174:Q174" ca="1" si="103">+OFFSET(E174,$D$173,0)</f>
        <v>0</v>
      </c>
      <c r="F174" s="421">
        <f t="shared" ca="1" si="103"/>
        <v>0</v>
      </c>
      <c r="G174" s="421">
        <f t="shared" ca="1" si="103"/>
        <v>0</v>
      </c>
      <c r="H174" s="421">
        <f t="shared" ca="1" si="103"/>
        <v>0</v>
      </c>
      <c r="I174" s="421">
        <f t="shared" ca="1" si="103"/>
        <v>0</v>
      </c>
      <c r="J174" s="421">
        <f t="shared" ca="1" si="103"/>
        <v>0</v>
      </c>
      <c r="K174" s="421">
        <f t="shared" ca="1" si="103"/>
        <v>26.666666666666668</v>
      </c>
      <c r="L174" s="421">
        <f t="shared" ca="1" si="103"/>
        <v>90</v>
      </c>
      <c r="M174" s="421">
        <f t="shared" ca="1" si="103"/>
        <v>150</v>
      </c>
      <c r="N174" s="421">
        <f t="shared" ca="1" si="103"/>
        <v>66.666666666666671</v>
      </c>
      <c r="O174" s="421">
        <f t="shared" ca="1" si="103"/>
        <v>200</v>
      </c>
      <c r="P174" s="421">
        <f t="shared" ca="1" si="103"/>
        <v>230</v>
      </c>
      <c r="Q174" s="422">
        <f t="shared" ca="1" si="103"/>
        <v>260</v>
      </c>
    </row>
    <row r="175" spans="1:17" s="4" customFormat="1" x14ac:dyDescent="0.2">
      <c r="A175" s="299" t="s">
        <v>185</v>
      </c>
      <c r="E175" s="319">
        <v>0</v>
      </c>
      <c r="F175" s="418">
        <v>0</v>
      </c>
      <c r="G175" s="418">
        <v>0</v>
      </c>
      <c r="H175" s="418">
        <v>0</v>
      </c>
      <c r="I175" s="417">
        <f>+AVERAGE(E175:H175)</f>
        <v>0</v>
      </c>
      <c r="J175" s="417">
        <v>15</v>
      </c>
      <c r="K175" s="417">
        <v>20</v>
      </c>
      <c r="L175" s="417">
        <v>50</v>
      </c>
      <c r="M175" s="417">
        <v>100</v>
      </c>
      <c r="N175" s="417">
        <f>+AVERAGE(J175:M175)</f>
        <v>46.25</v>
      </c>
      <c r="O175" s="311">
        <f>+O176-100</f>
        <v>100</v>
      </c>
      <c r="P175" s="311">
        <f t="shared" ref="P175:Q175" si="104">+P176-100</f>
        <v>130</v>
      </c>
      <c r="Q175" s="311">
        <f t="shared" si="104"/>
        <v>160</v>
      </c>
    </row>
    <row r="176" spans="1:17" s="306" customFormat="1" x14ac:dyDescent="0.2">
      <c r="A176" s="299" t="s">
        <v>187</v>
      </c>
      <c r="E176" s="417">
        <f>+AVERAGE('Theranos Market Assumptions'!I30:K30)</f>
        <v>0</v>
      </c>
      <c r="F176" s="417">
        <f>+AVERAGE('Theranos Market Assumptions'!L30:N30)</f>
        <v>0</v>
      </c>
      <c r="G176" s="417">
        <f>+AVERAGE('Theranos Market Assumptions'!O30:Q30)</f>
        <v>0</v>
      </c>
      <c r="H176" s="417">
        <f>+AVERAGE('Theranos Market Assumptions'!R30:T30)</f>
        <v>0</v>
      </c>
      <c r="I176" s="428">
        <f>AVERAGE('Theranos Market Assumptions'!I30:T30)</f>
        <v>0</v>
      </c>
      <c r="J176" s="417">
        <f>+AVERAGE('Theranos Market Assumptions'!U30:W30)</f>
        <v>0</v>
      </c>
      <c r="K176" s="417">
        <f>+AVERAGE('Theranos Market Assumptions'!X30:Z30)</f>
        <v>26.666666666666668</v>
      </c>
      <c r="L176" s="417">
        <f>+AVERAGE('Theranos Market Assumptions'!AA30:AC30)</f>
        <v>90</v>
      </c>
      <c r="M176" s="417">
        <f>+AVERAGE('Theranos Market Assumptions'!AD30:AF30)</f>
        <v>150</v>
      </c>
      <c r="N176" s="428">
        <f>AVERAGE('Theranos Market Assumptions'!U30:AF30)</f>
        <v>66.666666666666671</v>
      </c>
      <c r="O176" s="428">
        <f>'Theranos Market Assumptions'!AF30+30</f>
        <v>200</v>
      </c>
      <c r="P176" s="428">
        <f>O176+30</f>
        <v>230</v>
      </c>
      <c r="Q176" s="428">
        <f>P176+30</f>
        <v>260</v>
      </c>
    </row>
    <row r="177" spans="1:17" s="4" customFormat="1" x14ac:dyDescent="0.2">
      <c r="A177" s="299" t="s">
        <v>186</v>
      </c>
      <c r="E177" s="319">
        <f>+E176+5</f>
        <v>5</v>
      </c>
      <c r="F177" s="418">
        <v>5</v>
      </c>
      <c r="G177" s="418">
        <v>10</v>
      </c>
      <c r="H177" s="418">
        <v>10</v>
      </c>
      <c r="I177" s="417">
        <f>+AVERAGE(E177:H177)</f>
        <v>7.5</v>
      </c>
      <c r="J177" s="319">
        <v>20</v>
      </c>
      <c r="K177" s="319">
        <v>40</v>
      </c>
      <c r="L177" s="319">
        <v>120</v>
      </c>
      <c r="M177" s="319">
        <v>180</v>
      </c>
      <c r="N177" s="417">
        <f>+AVERAGE(J177:M177)</f>
        <v>90</v>
      </c>
      <c r="O177" s="311">
        <f t="shared" ref="O177:Q177" si="105">+O176+50</f>
        <v>250</v>
      </c>
      <c r="P177" s="311">
        <f t="shared" si="105"/>
        <v>280</v>
      </c>
      <c r="Q177" s="311">
        <f t="shared" si="105"/>
        <v>310</v>
      </c>
    </row>
    <row r="178" spans="1:17" s="289" customFormat="1" x14ac:dyDescent="0.2"/>
    <row r="179" spans="1:17" s="289" customFormat="1" x14ac:dyDescent="0.2">
      <c r="A179" s="289" t="s">
        <v>197</v>
      </c>
      <c r="D179" s="412">
        <v>2</v>
      </c>
      <c r="E179" s="413"/>
      <c r="F179" s="413"/>
      <c r="G179" s="413"/>
      <c r="H179" s="413"/>
    </row>
    <row r="180" spans="1:17" s="289" customFormat="1" x14ac:dyDescent="0.2">
      <c r="A180" s="303" t="str">
        <f ca="1">+OFFSET(A180,$D$179,0)</f>
        <v>Base (Company)</v>
      </c>
      <c r="B180" s="304"/>
      <c r="C180" s="304"/>
      <c r="D180" s="304"/>
      <c r="E180" s="304">
        <f t="shared" ref="E180:Q180" ca="1" si="106">+OFFSET(E180,$D$179,0)</f>
        <v>100</v>
      </c>
      <c r="F180" s="304">
        <f t="shared" ca="1" si="106"/>
        <v>100</v>
      </c>
      <c r="G180" s="304">
        <f t="shared" ca="1" si="106"/>
        <v>100</v>
      </c>
      <c r="H180" s="304">
        <f t="shared" ca="1" si="106"/>
        <v>100</v>
      </c>
      <c r="I180" s="304">
        <f t="shared" ca="1" si="106"/>
        <v>100</v>
      </c>
      <c r="J180" s="304">
        <f t="shared" ca="1" si="106"/>
        <v>100</v>
      </c>
      <c r="K180" s="304">
        <f t="shared" ca="1" si="106"/>
        <v>100</v>
      </c>
      <c r="L180" s="304">
        <f t="shared" ca="1" si="106"/>
        <v>100</v>
      </c>
      <c r="M180" s="304">
        <f t="shared" ca="1" si="106"/>
        <v>100</v>
      </c>
      <c r="N180" s="304">
        <f t="shared" ca="1" si="106"/>
        <v>100</v>
      </c>
      <c r="O180" s="304">
        <f t="shared" ca="1" si="106"/>
        <v>100</v>
      </c>
      <c r="P180" s="304">
        <f t="shared" ca="1" si="106"/>
        <v>100</v>
      </c>
      <c r="Q180" s="420">
        <f t="shared" ca="1" si="106"/>
        <v>100</v>
      </c>
    </row>
    <row r="181" spans="1:17" s="4" customFormat="1" x14ac:dyDescent="0.2">
      <c r="A181" s="299" t="s">
        <v>185</v>
      </c>
      <c r="E181" s="418">
        <f>+E182-20</f>
        <v>80</v>
      </c>
      <c r="F181" s="418">
        <f>+F182-20</f>
        <v>80</v>
      </c>
      <c r="G181" s="418">
        <f>+G182-20</f>
        <v>80</v>
      </c>
      <c r="H181" s="418">
        <f>+H182-20</f>
        <v>80</v>
      </c>
      <c r="I181" s="417">
        <f>+AVERAGE(E181:H181)</f>
        <v>80</v>
      </c>
      <c r="J181" s="418">
        <f>+J182-20</f>
        <v>80</v>
      </c>
      <c r="K181" s="418">
        <f>+K182-20</f>
        <v>80</v>
      </c>
      <c r="L181" s="418">
        <f>+L182-20</f>
        <v>80</v>
      </c>
      <c r="M181" s="418">
        <f>+M182-20</f>
        <v>80</v>
      </c>
      <c r="N181" s="417">
        <f>+AVERAGE(J181:M181)</f>
        <v>80</v>
      </c>
      <c r="O181" s="308">
        <f t="shared" ref="O181:Q181" si="107">O182-20</f>
        <v>80</v>
      </c>
      <c r="P181" s="308">
        <f t="shared" si="107"/>
        <v>80</v>
      </c>
      <c r="Q181" s="308">
        <f t="shared" si="107"/>
        <v>80</v>
      </c>
    </row>
    <row r="182" spans="1:17" s="4" customFormat="1" x14ac:dyDescent="0.2">
      <c r="A182" s="299" t="s">
        <v>187</v>
      </c>
      <c r="E182" s="306">
        <v>100</v>
      </c>
      <c r="F182" s="306">
        <v>100</v>
      </c>
      <c r="G182" s="306">
        <v>100</v>
      </c>
      <c r="H182" s="306">
        <v>100</v>
      </c>
      <c r="I182" s="306">
        <v>100</v>
      </c>
      <c r="J182" s="306">
        <v>100</v>
      </c>
      <c r="K182" s="306">
        <v>100</v>
      </c>
      <c r="L182" s="306">
        <v>100</v>
      </c>
      <c r="M182" s="306">
        <v>100</v>
      </c>
      <c r="N182" s="306">
        <v>100</v>
      </c>
      <c r="O182" s="4">
        <v>100</v>
      </c>
      <c r="P182" s="4">
        <v>100</v>
      </c>
      <c r="Q182" s="4">
        <v>100</v>
      </c>
    </row>
    <row r="183" spans="1:17" s="4" customFormat="1" x14ac:dyDescent="0.2">
      <c r="A183" s="299" t="s">
        <v>186</v>
      </c>
      <c r="E183" s="418">
        <f>E182+20</f>
        <v>120</v>
      </c>
      <c r="F183" s="418">
        <f t="shared" ref="F183:H183" si="108">F182+20</f>
        <v>120</v>
      </c>
      <c r="G183" s="418">
        <f t="shared" si="108"/>
        <v>120</v>
      </c>
      <c r="H183" s="418">
        <f t="shared" si="108"/>
        <v>120</v>
      </c>
      <c r="I183" s="417">
        <f>+AVERAGE(E183:H183)</f>
        <v>120</v>
      </c>
      <c r="J183" s="418">
        <f>J182+20</f>
        <v>120</v>
      </c>
      <c r="K183" s="418">
        <f t="shared" ref="K183:M183" si="109">K182+20</f>
        <v>120</v>
      </c>
      <c r="L183" s="418">
        <f t="shared" si="109"/>
        <v>120</v>
      </c>
      <c r="M183" s="418">
        <f t="shared" si="109"/>
        <v>120</v>
      </c>
      <c r="N183" s="417">
        <f>+AVERAGE(J183:M183)</f>
        <v>120</v>
      </c>
      <c r="O183" s="308">
        <f t="shared" ref="O183:Q183" si="110">O182+20</f>
        <v>120</v>
      </c>
      <c r="P183" s="308">
        <f t="shared" si="110"/>
        <v>120</v>
      </c>
      <c r="Q183" s="308">
        <f t="shared" si="110"/>
        <v>120</v>
      </c>
    </row>
  </sheetData>
  <pageMargins left="0.7" right="0.7" top="0.75" bottom="0.75" header="0.3" footer="0.3"/>
  <pageSetup scale="65" orientation="portrait" r:id="rId1"/>
  <rowBreaks count="2" manualBreakCount="2">
    <brk id="81" max="10" man="1"/>
    <brk id="142" max="1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105"/>
  <sheetViews>
    <sheetView showGridLines="0" workbookViewId="0">
      <selection activeCell="I12" sqref="I12"/>
    </sheetView>
  </sheetViews>
  <sheetFormatPr defaultRowHeight="12.75" outlineLevelRow="1" x14ac:dyDescent="0.2"/>
  <cols>
    <col min="1" max="1" width="15.5703125" style="1" bestFit="1" customWidth="1"/>
    <col min="2" max="9" width="10.7109375" style="1" customWidth="1"/>
    <col min="10" max="10" width="10.140625" style="1" bestFit="1" customWidth="1"/>
    <col min="11" max="12" width="9.140625" style="1"/>
    <col min="13" max="13" width="10" style="1" customWidth="1"/>
    <col min="14" max="15" width="9.140625" style="1"/>
    <col min="16" max="16" width="9.85546875" style="1" customWidth="1"/>
    <col min="17" max="16384" width="9.140625" style="1"/>
  </cols>
  <sheetData>
    <row r="1" spans="1:10" x14ac:dyDescent="0.2">
      <c r="A1" s="490" t="s">
        <v>2271</v>
      </c>
      <c r="B1" s="469"/>
      <c r="C1" s="469"/>
      <c r="D1" s="469"/>
      <c r="E1" s="469"/>
      <c r="F1" s="469"/>
      <c r="G1" s="469"/>
      <c r="H1" s="469"/>
      <c r="I1" s="469"/>
      <c r="J1" s="469"/>
    </row>
    <row r="2" spans="1:10" x14ac:dyDescent="0.2">
      <c r="J2" s="479"/>
    </row>
    <row r="3" spans="1:10" x14ac:dyDescent="0.2">
      <c r="B3" s="480">
        <v>2008</v>
      </c>
      <c r="C3" s="480">
        <f>+B3+1</f>
        <v>2009</v>
      </c>
      <c r="D3" s="480">
        <f t="shared" ref="D3:G3" si="0">+C3+1</f>
        <v>2010</v>
      </c>
      <c r="E3" s="480">
        <f t="shared" si="0"/>
        <v>2011</v>
      </c>
      <c r="F3" s="480">
        <f t="shared" si="0"/>
        <v>2012</v>
      </c>
      <c r="G3" s="480">
        <f t="shared" si="0"/>
        <v>2013</v>
      </c>
      <c r="H3" s="481" t="s">
        <v>2274</v>
      </c>
      <c r="J3" s="482" t="s">
        <v>2275</v>
      </c>
    </row>
    <row r="4" spans="1:10" hidden="1" outlineLevel="1" x14ac:dyDescent="0.2">
      <c r="A4" s="1" t="s">
        <v>2273</v>
      </c>
      <c r="C4" s="479"/>
      <c r="D4" s="479"/>
    </row>
    <row r="5" spans="1:10" collapsed="1" x14ac:dyDescent="0.2">
      <c r="A5" s="1" t="s">
        <v>2270</v>
      </c>
      <c r="B5" s="287">
        <v>3223</v>
      </c>
      <c r="C5" s="287">
        <v>3838</v>
      </c>
      <c r="D5" s="287">
        <v>7920</v>
      </c>
      <c r="E5" s="287">
        <v>3790</v>
      </c>
      <c r="F5" s="287">
        <v>6859</v>
      </c>
      <c r="G5" s="287">
        <v>13978</v>
      </c>
      <c r="H5" s="287">
        <v>18234</v>
      </c>
      <c r="I5" s="289"/>
      <c r="J5" s="483">
        <v>36708</v>
      </c>
    </row>
    <row r="6" spans="1:10" x14ac:dyDescent="0.2">
      <c r="A6" s="1" t="s">
        <v>2299</v>
      </c>
      <c r="B6" s="287">
        <v>4967</v>
      </c>
      <c r="C6" s="287">
        <v>11589</v>
      </c>
      <c r="D6" s="287">
        <v>10128</v>
      </c>
      <c r="E6" s="287">
        <v>18055</v>
      </c>
      <c r="F6" s="287">
        <v>19499</v>
      </c>
      <c r="G6" s="287">
        <v>14620</v>
      </c>
      <c r="H6" s="287">
        <v>15589</v>
      </c>
      <c r="I6" s="289"/>
      <c r="J6" s="483">
        <v>36690</v>
      </c>
    </row>
    <row r="7" spans="1:10" x14ac:dyDescent="0.2">
      <c r="A7" s="1" t="s">
        <v>2290</v>
      </c>
      <c r="B7" s="287">
        <v>3905</v>
      </c>
      <c r="C7" s="287">
        <v>9214</v>
      </c>
      <c r="D7" s="287">
        <v>17345</v>
      </c>
      <c r="E7" s="287">
        <v>13799</v>
      </c>
      <c r="F7" s="287">
        <v>23870</v>
      </c>
      <c r="G7" s="287">
        <v>33280</v>
      </c>
      <c r="H7" s="287">
        <v>35800</v>
      </c>
      <c r="I7" s="289"/>
      <c r="J7" s="483">
        <v>38161</v>
      </c>
    </row>
    <row r="8" spans="1:10" x14ac:dyDescent="0.2">
      <c r="A8" s="1" t="s">
        <v>2288</v>
      </c>
      <c r="B8" s="287"/>
      <c r="C8" s="287"/>
      <c r="D8" s="497">
        <v>2484</v>
      </c>
      <c r="E8" s="287">
        <v>2979</v>
      </c>
      <c r="F8" s="287">
        <v>3854</v>
      </c>
      <c r="G8" s="287">
        <v>18442</v>
      </c>
      <c r="H8" s="287">
        <v>21868</v>
      </c>
      <c r="I8" s="289"/>
      <c r="J8" s="483">
        <v>40365</v>
      </c>
    </row>
    <row r="9" spans="1:10" collapsed="1" x14ac:dyDescent="0.2">
      <c r="A9" s="1" t="s">
        <v>2267</v>
      </c>
      <c r="B9" s="289"/>
      <c r="C9" s="289"/>
      <c r="D9" s="289"/>
      <c r="E9" s="289"/>
      <c r="F9" s="497">
        <v>57670</v>
      </c>
      <c r="G9" s="287">
        <v>138820</v>
      </c>
      <c r="H9" s="287">
        <v>139272</v>
      </c>
      <c r="I9" s="289"/>
      <c r="J9" s="483">
        <v>41047</v>
      </c>
    </row>
    <row r="10" spans="1:10" x14ac:dyDescent="0.2">
      <c r="A10" s="1" t="s">
        <v>2269</v>
      </c>
      <c r="B10" s="289"/>
      <c r="C10" s="289"/>
      <c r="D10" s="289"/>
      <c r="E10" s="289"/>
      <c r="F10" s="497">
        <v>2862</v>
      </c>
      <c r="G10" s="287">
        <v>7366</v>
      </c>
      <c r="H10" s="287">
        <v>8447</v>
      </c>
      <c r="I10" s="289"/>
      <c r="J10" s="483">
        <v>41018</v>
      </c>
    </row>
    <row r="11" spans="1:10" collapsed="1" x14ac:dyDescent="0.2">
      <c r="A11" s="1" t="s">
        <v>2268</v>
      </c>
      <c r="B11" s="289"/>
      <c r="C11" s="289"/>
      <c r="D11" s="289"/>
      <c r="E11" s="289"/>
      <c r="F11" s="289"/>
      <c r="G11" s="497">
        <v>27858.516</v>
      </c>
      <c r="H11" s="287">
        <v>34318</v>
      </c>
      <c r="I11" s="289"/>
      <c r="J11" s="483">
        <v>41584</v>
      </c>
    </row>
    <row r="12" spans="1:10" x14ac:dyDescent="0.2">
      <c r="B12" s="289"/>
      <c r="C12" s="289"/>
      <c r="D12" s="289"/>
      <c r="E12" s="289"/>
      <c r="F12" s="289"/>
      <c r="G12" s="287"/>
      <c r="H12" s="287"/>
      <c r="I12" s="289"/>
      <c r="J12" s="483"/>
    </row>
    <row r="13" spans="1:10" s="5" customFormat="1" x14ac:dyDescent="0.2">
      <c r="A13" s="496" t="s">
        <v>2291</v>
      </c>
      <c r="B13" s="348"/>
      <c r="C13" s="348"/>
      <c r="D13" s="348"/>
      <c r="E13" s="348"/>
      <c r="F13" s="348"/>
      <c r="G13" s="348"/>
      <c r="H13" s="348"/>
      <c r="I13" s="332"/>
      <c r="J13" s="495"/>
    </row>
    <row r="15" spans="1:10" x14ac:dyDescent="0.2">
      <c r="A15" s="490" t="s">
        <v>2272</v>
      </c>
      <c r="B15" s="469"/>
      <c r="C15" s="469"/>
      <c r="D15" s="469"/>
      <c r="E15" s="469"/>
      <c r="F15" s="469"/>
      <c r="G15" s="469"/>
      <c r="H15" s="469"/>
      <c r="I15" s="469"/>
      <c r="J15" s="469"/>
    </row>
    <row r="16" spans="1:10" x14ac:dyDescent="0.2">
      <c r="H16" s="489" t="s">
        <v>2287</v>
      </c>
      <c r="I16" s="488"/>
      <c r="J16" s="479"/>
    </row>
    <row r="17" spans="1:10" x14ac:dyDescent="0.2">
      <c r="B17" s="484">
        <f>+B3</f>
        <v>2008</v>
      </c>
      <c r="C17" s="484">
        <f>+C3</f>
        <v>2009</v>
      </c>
      <c r="D17" s="484">
        <f>+D3</f>
        <v>2010</v>
      </c>
      <c r="E17" s="484">
        <f>+E3</f>
        <v>2011</v>
      </c>
      <c r="F17" s="484">
        <f>+F3</f>
        <v>2012</v>
      </c>
      <c r="G17" s="485">
        <f>+F17+1</f>
        <v>2013</v>
      </c>
      <c r="H17" s="485">
        <f>+G17+1</f>
        <v>2014</v>
      </c>
      <c r="I17" s="485">
        <f t="shared" ref="I17" si="1">+H17+1</f>
        <v>2015</v>
      </c>
      <c r="J17" s="479"/>
    </row>
    <row r="18" spans="1:10" x14ac:dyDescent="0.2">
      <c r="A18" s="1" t="str">
        <f t="shared" ref="A18:A24" si="2">+A5</f>
        <v>Illumina</v>
      </c>
      <c r="B18" s="287">
        <v>573.22</v>
      </c>
      <c r="C18" s="287">
        <v>666.32</v>
      </c>
      <c r="D18" s="287">
        <v>902.74</v>
      </c>
      <c r="E18" s="287">
        <v>1060</v>
      </c>
      <c r="F18" s="287">
        <v>1150</v>
      </c>
      <c r="G18" s="287">
        <v>1420</v>
      </c>
      <c r="H18" s="287">
        <v>1660</v>
      </c>
      <c r="I18" s="287">
        <v>1950</v>
      </c>
    </row>
    <row r="19" spans="1:10" x14ac:dyDescent="0.2">
      <c r="A19" s="1" t="str">
        <f t="shared" si="2"/>
        <v>Intuitive Surgical</v>
      </c>
      <c r="B19" s="287">
        <v>875</v>
      </c>
      <c r="C19" s="287">
        <v>1050</v>
      </c>
      <c r="D19" s="287">
        <v>1410</v>
      </c>
      <c r="E19" s="287">
        <v>1760</v>
      </c>
      <c r="F19" s="287">
        <v>2180</v>
      </c>
      <c r="G19" s="287">
        <v>2270</v>
      </c>
      <c r="H19" s="287">
        <v>2270</v>
      </c>
      <c r="I19" s="287">
        <v>2480</v>
      </c>
    </row>
    <row r="20" spans="1:10" x14ac:dyDescent="0.2">
      <c r="A20" s="289" t="str">
        <f t="shared" si="2"/>
        <v>Salesforce.com</v>
      </c>
      <c r="B20" s="287">
        <v>748.7</v>
      </c>
      <c r="C20" s="287">
        <v>1080</v>
      </c>
      <c r="D20" s="287">
        <v>1310</v>
      </c>
      <c r="E20" s="287">
        <v>1660</v>
      </c>
      <c r="F20" s="287">
        <v>2270</v>
      </c>
      <c r="G20" s="287">
        <v>3050</v>
      </c>
      <c r="H20" s="287">
        <v>4060</v>
      </c>
      <c r="I20" s="287">
        <v>5210</v>
      </c>
    </row>
    <row r="21" spans="1:10" x14ac:dyDescent="0.2">
      <c r="A21" s="289" t="str">
        <f t="shared" si="2"/>
        <v>Tesla</v>
      </c>
      <c r="B21" s="287">
        <v>14.742000000000001</v>
      </c>
      <c r="C21" s="287">
        <v>111.943</v>
      </c>
      <c r="D21" s="497">
        <v>116.74</v>
      </c>
      <c r="E21" s="287">
        <v>204.24</v>
      </c>
      <c r="F21" s="287">
        <v>413.26</v>
      </c>
      <c r="G21" s="287">
        <v>2380</v>
      </c>
      <c r="H21" s="287">
        <v>3300</v>
      </c>
      <c r="I21" s="287">
        <v>4920</v>
      </c>
    </row>
    <row r="22" spans="1:10" x14ac:dyDescent="0.2">
      <c r="A22" s="1" t="str">
        <f t="shared" si="2"/>
        <v>Facebook</v>
      </c>
      <c r="B22" s="7">
        <v>272</v>
      </c>
      <c r="C22" s="7">
        <v>777</v>
      </c>
      <c r="D22" s="7">
        <v>1974</v>
      </c>
      <c r="E22" s="7">
        <v>3711</v>
      </c>
      <c r="F22" s="497">
        <v>5090</v>
      </c>
      <c r="G22" s="7">
        <v>7640</v>
      </c>
      <c r="H22" s="7">
        <v>10440</v>
      </c>
      <c r="I22" s="287">
        <v>13520</v>
      </c>
    </row>
    <row r="23" spans="1:10" x14ac:dyDescent="0.2">
      <c r="A23" s="1" t="str">
        <f t="shared" si="2"/>
        <v>Splunk</v>
      </c>
      <c r="B23" s="287"/>
      <c r="C23" s="287"/>
      <c r="D23" s="287">
        <v>35</v>
      </c>
      <c r="E23" s="287">
        <v>66.245000000000005</v>
      </c>
      <c r="F23" s="497">
        <v>120.96</v>
      </c>
      <c r="G23" s="287">
        <v>198.94399999999999</v>
      </c>
      <c r="H23" s="287">
        <v>292.95999999999998</v>
      </c>
      <c r="I23" s="287">
        <v>395.5</v>
      </c>
    </row>
    <row r="24" spans="1:10" x14ac:dyDescent="0.2">
      <c r="A24" s="289" t="str">
        <f t="shared" si="2"/>
        <v>Twitter</v>
      </c>
      <c r="B24" s="287"/>
      <c r="C24" s="287"/>
      <c r="D24" s="287">
        <v>28.277999999999999</v>
      </c>
      <c r="E24" s="287">
        <v>106.313</v>
      </c>
      <c r="F24" s="287">
        <v>316.93299999999999</v>
      </c>
      <c r="G24" s="497">
        <v>639.54999999999995</v>
      </c>
      <c r="H24" s="287">
        <v>1130</v>
      </c>
      <c r="I24" s="287">
        <v>1780</v>
      </c>
    </row>
    <row r="25" spans="1:10" x14ac:dyDescent="0.2">
      <c r="A25" s="289"/>
      <c r="B25" s="287"/>
      <c r="C25" s="287"/>
      <c r="D25" s="287"/>
      <c r="E25" s="287"/>
      <c r="F25" s="287"/>
      <c r="G25" s="287"/>
      <c r="H25" s="287"/>
      <c r="I25" s="287"/>
    </row>
    <row r="26" spans="1:10" x14ac:dyDescent="0.2">
      <c r="A26" s="491" t="str">
        <f>+A4</f>
        <v>Theranos</v>
      </c>
      <c r="B26" s="491"/>
      <c r="C26" s="492"/>
      <c r="D26" s="492"/>
      <c r="E26" s="491"/>
      <c r="F26" s="491"/>
      <c r="G26" s="491">
        <f>+'ProForma Income Stmt'!C20/1000000</f>
        <v>25</v>
      </c>
      <c r="H26" s="493">
        <f ca="1">+('PFM Rev Model-Bottoms Up'!I48+'PFM Rev Model-Bottoms Up'!I51)/1000000</f>
        <v>249</v>
      </c>
      <c r="I26" s="493">
        <f ca="1">+('PFM Rev Model-Bottoms Up'!N48+'PFM Rev Model-Bottoms Up'!N51)/1000000</f>
        <v>1558</v>
      </c>
    </row>
    <row r="28" spans="1:10" x14ac:dyDescent="0.2">
      <c r="A28" s="490" t="s">
        <v>2286</v>
      </c>
      <c r="B28" s="469"/>
      <c r="C28" s="469"/>
      <c r="D28" s="469"/>
      <c r="E28" s="469"/>
      <c r="F28" s="469"/>
      <c r="G28" s="469"/>
      <c r="H28" s="469"/>
      <c r="I28" s="469"/>
      <c r="J28" s="469"/>
    </row>
    <row r="29" spans="1:10" x14ac:dyDescent="0.2">
      <c r="H29" s="489" t="s">
        <v>2287</v>
      </c>
      <c r="I29" s="488"/>
      <c r="J29" s="479"/>
    </row>
    <row r="30" spans="1:10" x14ac:dyDescent="0.2">
      <c r="B30" s="482">
        <f>+B17</f>
        <v>2008</v>
      </c>
      <c r="C30" s="482">
        <f t="shared" ref="C30:I30" si="3">+C17</f>
        <v>2009</v>
      </c>
      <c r="D30" s="482">
        <f t="shared" si="3"/>
        <v>2010</v>
      </c>
      <c r="E30" s="482">
        <f t="shared" si="3"/>
        <v>2011</v>
      </c>
      <c r="F30" s="482">
        <f t="shared" si="3"/>
        <v>2012</v>
      </c>
      <c r="G30" s="482">
        <f t="shared" si="3"/>
        <v>2013</v>
      </c>
      <c r="H30" s="486">
        <f t="shared" si="3"/>
        <v>2014</v>
      </c>
      <c r="I30" s="486">
        <f t="shared" si="3"/>
        <v>2015</v>
      </c>
      <c r="J30" s="479"/>
    </row>
    <row r="31" spans="1:10" x14ac:dyDescent="0.2">
      <c r="A31" s="1" t="str">
        <f>+A18</f>
        <v>Illumina</v>
      </c>
      <c r="B31" s="487">
        <f t="shared" ref="B31:G32" si="4">IFERROR(+B5/C18, " ")</f>
        <v>4.8370152479289228</v>
      </c>
      <c r="C31" s="487">
        <f t="shared" si="4"/>
        <v>4.2515009858874091</v>
      </c>
      <c r="D31" s="487">
        <f t="shared" si="4"/>
        <v>7.4716981132075473</v>
      </c>
      <c r="E31" s="487">
        <f t="shared" si="4"/>
        <v>3.2956521739130435</v>
      </c>
      <c r="F31" s="487">
        <f t="shared" si="4"/>
        <v>4.8302816901408452</v>
      </c>
      <c r="G31" s="487">
        <f t="shared" si="4"/>
        <v>8.4204819277108438</v>
      </c>
      <c r="H31" s="487">
        <f t="shared" ref="H31:H37" si="5">IFERROR(+H5/H18, " ")</f>
        <v>10.98433734939759</v>
      </c>
      <c r="I31" s="487">
        <f t="shared" ref="I31:I37" si="6">IFERROR(+H5/I18, " ")</f>
        <v>9.3507692307692309</v>
      </c>
    </row>
    <row r="32" spans="1:10" x14ac:dyDescent="0.2">
      <c r="A32" s="1" t="str">
        <f>+A19</f>
        <v>Intuitive Surgical</v>
      </c>
      <c r="B32" s="487">
        <f t="shared" si="4"/>
        <v>4.7304761904761907</v>
      </c>
      <c r="C32" s="487">
        <f t="shared" si="4"/>
        <v>8.2191489361702121</v>
      </c>
      <c r="D32" s="487">
        <f t="shared" si="4"/>
        <v>5.7545454545454549</v>
      </c>
      <c r="E32" s="487">
        <f t="shared" si="4"/>
        <v>8.2821100917431192</v>
      </c>
      <c r="F32" s="487">
        <f t="shared" si="4"/>
        <v>8.5898678414096921</v>
      </c>
      <c r="G32" s="487">
        <f t="shared" si="4"/>
        <v>6.4405286343612334</v>
      </c>
      <c r="H32" s="487">
        <f t="shared" si="5"/>
        <v>6.8674008810572689</v>
      </c>
      <c r="I32" s="487">
        <f t="shared" si="6"/>
        <v>6.2858870967741938</v>
      </c>
    </row>
    <row r="33" spans="1:17" x14ac:dyDescent="0.2">
      <c r="A33" s="289" t="str">
        <f t="shared" ref="A33:A37" si="7">+A20</f>
        <v>Salesforce.com</v>
      </c>
      <c r="B33" s="487">
        <f t="shared" ref="B33:G33" si="8">IFERROR(+B7/C20, " ")</f>
        <v>3.6157407407407409</v>
      </c>
      <c r="C33" s="487">
        <f t="shared" si="8"/>
        <v>7.0335877862595417</v>
      </c>
      <c r="D33" s="487">
        <f t="shared" si="8"/>
        <v>10.448795180722891</v>
      </c>
      <c r="E33" s="487">
        <f t="shared" si="8"/>
        <v>6.0788546255506608</v>
      </c>
      <c r="F33" s="487">
        <f t="shared" si="8"/>
        <v>7.8262295081967217</v>
      </c>
      <c r="G33" s="487">
        <f t="shared" si="8"/>
        <v>8.1970443349753701</v>
      </c>
      <c r="H33" s="487">
        <f t="shared" si="5"/>
        <v>8.8177339901477829</v>
      </c>
      <c r="I33" s="487">
        <f t="shared" si="6"/>
        <v>6.8714011516314777</v>
      </c>
    </row>
    <row r="34" spans="1:17" s="289" customFormat="1" x14ac:dyDescent="0.2">
      <c r="A34" s="289" t="str">
        <f t="shared" si="7"/>
        <v>Tesla</v>
      </c>
      <c r="B34" s="487"/>
      <c r="C34" s="487"/>
      <c r="D34" s="498">
        <f>IFERROR(+D8/E21, " ")</f>
        <v>12.162162162162161</v>
      </c>
      <c r="E34" s="487">
        <f>IFERROR(+E8/F21, " ")</f>
        <v>7.2085369984997341</v>
      </c>
      <c r="F34" s="487">
        <f>IFERROR(+F8/G21, " ")</f>
        <v>1.619327731092437</v>
      </c>
      <c r="G34" s="487">
        <f>IFERROR(+G8/H21, " ")</f>
        <v>5.5884848484848488</v>
      </c>
      <c r="H34" s="487">
        <f t="shared" si="5"/>
        <v>6.6266666666666669</v>
      </c>
      <c r="I34" s="487">
        <f t="shared" si="6"/>
        <v>4.4447154471544712</v>
      </c>
    </row>
    <row r="35" spans="1:17" x14ac:dyDescent="0.2">
      <c r="A35" s="1" t="str">
        <f t="shared" si="7"/>
        <v>Facebook</v>
      </c>
      <c r="B35" s="487"/>
      <c r="C35" s="487"/>
      <c r="D35" s="487"/>
      <c r="E35" s="487"/>
      <c r="F35" s="498">
        <f>IFERROR(+F9/G22, " ")</f>
        <v>7.5484293193717278</v>
      </c>
      <c r="G35" s="487">
        <f>IFERROR(+G9/H22, " ")</f>
        <v>13.296934865900383</v>
      </c>
      <c r="H35" s="487">
        <f t="shared" si="5"/>
        <v>13.340229885057472</v>
      </c>
      <c r="I35" s="487">
        <f t="shared" si="6"/>
        <v>10.301183431952662</v>
      </c>
    </row>
    <row r="36" spans="1:17" x14ac:dyDescent="0.2">
      <c r="A36" s="1" t="str">
        <f t="shared" si="7"/>
        <v>Splunk</v>
      </c>
      <c r="B36" s="487"/>
      <c r="C36" s="487"/>
      <c r="D36" s="487"/>
      <c r="E36" s="487"/>
      <c r="F36" s="498">
        <f>IFERROR(+F10/G23, " ")</f>
        <v>14.385957857487535</v>
      </c>
      <c r="G36" s="487">
        <f>IFERROR(+G10/H23, " ")</f>
        <v>25.14336428181322</v>
      </c>
      <c r="H36" s="487">
        <f t="shared" si="5"/>
        <v>28.833287820862918</v>
      </c>
      <c r="I36" s="487">
        <f t="shared" si="6"/>
        <v>21.357774968394438</v>
      </c>
    </row>
    <row r="37" spans="1:17" x14ac:dyDescent="0.2">
      <c r="A37" s="1" t="str">
        <f t="shared" si="7"/>
        <v>Twitter</v>
      </c>
      <c r="B37" s="487"/>
      <c r="C37" s="487"/>
      <c r="D37" s="487"/>
      <c r="E37" s="487"/>
      <c r="F37" s="487"/>
      <c r="G37" s="498">
        <f>IFERROR(+G11/H24, " ")</f>
        <v>24.653553982300885</v>
      </c>
      <c r="H37" s="487">
        <f t="shared" si="5"/>
        <v>30.369911504424778</v>
      </c>
      <c r="I37" s="487">
        <f t="shared" si="6"/>
        <v>19.279775280898875</v>
      </c>
    </row>
    <row r="39" spans="1:17" s="5" customFormat="1" x14ac:dyDescent="0.2">
      <c r="A39" s="491" t="s">
        <v>2300</v>
      </c>
      <c r="B39" s="491"/>
      <c r="C39" s="491"/>
      <c r="D39" s="491"/>
      <c r="E39" s="491"/>
      <c r="F39" s="491"/>
      <c r="G39" s="491"/>
      <c r="H39" s="512">
        <f ca="1">8000/H26</f>
        <v>32.128514056224901</v>
      </c>
      <c r="I39" s="512">
        <f ca="1">8000/I26</f>
        <v>5.1347881899871632</v>
      </c>
    </row>
    <row r="41" spans="1:17" x14ac:dyDescent="0.2">
      <c r="A41" s="5" t="s">
        <v>2268</v>
      </c>
      <c r="D41" s="5" t="s">
        <v>2292</v>
      </c>
      <c r="G41" s="5" t="s">
        <v>2293</v>
      </c>
      <c r="J41" s="5" t="s">
        <v>2289</v>
      </c>
      <c r="M41" s="5" t="s">
        <v>2288</v>
      </c>
      <c r="P41" s="5" t="s">
        <v>2269</v>
      </c>
    </row>
    <row r="42" spans="1:17" x14ac:dyDescent="0.2">
      <c r="A42" s="499">
        <f>_xll.BDH("TWTR US Equity","BEST_SALES","01/01/1998","1/14/2014","BEST_FPERIOD_OVERRIDE=1gy","per=y","cols=2;rows=1")</f>
        <v>41639</v>
      </c>
      <c r="B42" s="1">
        <v>639.32000000000005</v>
      </c>
      <c r="D42" s="499">
        <v>41274</v>
      </c>
      <c r="E42" s="500">
        <v>5014.9380000000001</v>
      </c>
      <c r="G42" s="499">
        <v>37256</v>
      </c>
      <c r="H42" s="1">
        <v>2.4</v>
      </c>
      <c r="J42" s="499">
        <v>38352</v>
      </c>
      <c r="K42" s="1">
        <v>174.13</v>
      </c>
      <c r="M42" s="499">
        <v>40543</v>
      </c>
      <c r="N42" s="1">
        <v>113.667</v>
      </c>
      <c r="P42" s="499">
        <v>41274</v>
      </c>
      <c r="Q42" s="1">
        <v>193.667</v>
      </c>
    </row>
    <row r="43" spans="1:17" x14ac:dyDescent="0.2">
      <c r="A43" s="499"/>
      <c r="D43" s="499">
        <v>41639</v>
      </c>
      <c r="E43" s="500">
        <v>7631.8379999999997</v>
      </c>
      <c r="G43" s="499">
        <v>37621</v>
      </c>
      <c r="H43" s="1">
        <v>11.074999999999999</v>
      </c>
      <c r="J43" s="499">
        <v>38716</v>
      </c>
      <c r="K43" s="1">
        <v>302.38900000000001</v>
      </c>
      <c r="M43" s="499">
        <v>40907</v>
      </c>
      <c r="N43" s="1">
        <v>203.5</v>
      </c>
      <c r="P43" s="499">
        <v>41639</v>
      </c>
      <c r="Q43" s="1">
        <v>292.78300000000002</v>
      </c>
    </row>
    <row r="44" spans="1:17" x14ac:dyDescent="0.2">
      <c r="A44" s="499"/>
      <c r="G44" s="499">
        <v>37986</v>
      </c>
      <c r="H44" s="1">
        <v>25.882999999999999</v>
      </c>
      <c r="J44" s="499">
        <v>39080</v>
      </c>
      <c r="K44" s="1">
        <v>492.28</v>
      </c>
      <c r="M44" s="499">
        <v>41274</v>
      </c>
      <c r="N44" s="1">
        <v>407.5</v>
      </c>
    </row>
    <row r="45" spans="1:17" x14ac:dyDescent="0.2">
      <c r="A45" s="499"/>
      <c r="G45" s="499">
        <v>38352</v>
      </c>
      <c r="H45" s="1">
        <v>50.652000000000001</v>
      </c>
      <c r="J45" s="499">
        <v>39447</v>
      </c>
      <c r="K45" s="1">
        <v>740.59100000000001</v>
      </c>
      <c r="M45" s="499">
        <v>41639</v>
      </c>
      <c r="N45" s="1">
        <v>2362.1</v>
      </c>
    </row>
    <row r="46" spans="1:17" x14ac:dyDescent="0.2">
      <c r="A46" s="499"/>
      <c r="G46" s="499">
        <v>38716</v>
      </c>
      <c r="H46" s="1">
        <v>72.853999999999999</v>
      </c>
      <c r="J46" s="499">
        <v>39813</v>
      </c>
      <c r="K46" s="1">
        <v>1072.3330000000001</v>
      </c>
    </row>
    <row r="47" spans="1:17" x14ac:dyDescent="0.2">
      <c r="A47" s="499"/>
      <c r="G47" s="499">
        <v>39080</v>
      </c>
      <c r="H47" s="1">
        <v>181.875</v>
      </c>
      <c r="J47" s="499">
        <v>40178</v>
      </c>
      <c r="K47" s="1">
        <v>1293.4000000000001</v>
      </c>
    </row>
    <row r="48" spans="1:17" x14ac:dyDescent="0.2">
      <c r="A48" s="499"/>
      <c r="G48" s="499">
        <v>39447</v>
      </c>
      <c r="H48" s="1">
        <v>359.57100000000003</v>
      </c>
      <c r="J48" s="499">
        <v>40543</v>
      </c>
      <c r="K48" s="1">
        <v>1650.3330000000001</v>
      </c>
    </row>
    <row r="49" spans="1:11" x14ac:dyDescent="0.2">
      <c r="A49" s="499"/>
      <c r="G49" s="499">
        <v>39813</v>
      </c>
      <c r="H49" s="1">
        <v>567.41700000000003</v>
      </c>
      <c r="J49" s="499">
        <v>40907</v>
      </c>
      <c r="K49" s="1">
        <v>2256.7370000000001</v>
      </c>
    </row>
    <row r="50" spans="1:11" x14ac:dyDescent="0.2">
      <c r="A50" s="499"/>
      <c r="G50" s="499">
        <v>40178</v>
      </c>
      <c r="H50" s="1">
        <v>653.58299999999997</v>
      </c>
      <c r="J50" s="499">
        <v>41274</v>
      </c>
      <c r="K50" s="1">
        <v>3046.1579999999999</v>
      </c>
    </row>
    <row r="51" spans="1:11" x14ac:dyDescent="0.2">
      <c r="A51" s="499"/>
      <c r="G51" s="499">
        <v>40543</v>
      </c>
      <c r="H51" s="1">
        <v>890.82399999999996</v>
      </c>
      <c r="J51" s="499">
        <v>41639</v>
      </c>
      <c r="K51" s="1">
        <v>4054.4749999999999</v>
      </c>
    </row>
    <row r="52" spans="1:11" x14ac:dyDescent="0.2">
      <c r="A52" s="499"/>
      <c r="G52" s="499">
        <v>40907</v>
      </c>
      <c r="H52" s="1">
        <v>1053.3679999999999</v>
      </c>
    </row>
    <row r="53" spans="1:11" x14ac:dyDescent="0.2">
      <c r="A53" s="499"/>
      <c r="G53" s="499">
        <v>41274</v>
      </c>
      <c r="H53" s="1">
        <v>1140.95</v>
      </c>
    </row>
    <row r="54" spans="1:11" x14ac:dyDescent="0.2">
      <c r="A54" s="499"/>
      <c r="G54" s="499">
        <v>41639</v>
      </c>
      <c r="H54" s="1">
        <v>1403.5830000000001</v>
      </c>
    </row>
    <row r="55" spans="1:11" x14ac:dyDescent="0.2">
      <c r="A55" s="499"/>
    </row>
    <row r="56" spans="1:11" x14ac:dyDescent="0.2">
      <c r="A56" s="501" t="s">
        <v>2296</v>
      </c>
      <c r="B56" s="469"/>
      <c r="C56" s="469"/>
      <c r="D56" s="469"/>
      <c r="E56" s="469"/>
      <c r="F56" s="469"/>
      <c r="G56" s="469"/>
      <c r="H56" s="469"/>
      <c r="I56" s="469"/>
      <c r="J56" s="469"/>
    </row>
    <row r="57" spans="1:11" s="289" customFormat="1" x14ac:dyDescent="0.2">
      <c r="A57" s="502"/>
    </row>
    <row r="58" spans="1:11" x14ac:dyDescent="0.2">
      <c r="A58" s="499"/>
      <c r="C58" s="494"/>
      <c r="E58" s="482" t="s">
        <v>2294</v>
      </c>
      <c r="F58" s="10"/>
      <c r="H58" s="482" t="s">
        <v>2295</v>
      </c>
      <c r="I58" s="10"/>
    </row>
    <row r="59" spans="1:11" x14ac:dyDescent="0.2">
      <c r="A59" s="499" t="str">
        <f>+A31</f>
        <v>Illumina</v>
      </c>
      <c r="D59" s="5">
        <v>2001</v>
      </c>
      <c r="E59" s="313">
        <f>+H42</f>
        <v>2.4</v>
      </c>
      <c r="G59" s="5">
        <v>2002</v>
      </c>
      <c r="H59" s="313">
        <f>+H43</f>
        <v>11.074999999999999</v>
      </c>
    </row>
    <row r="60" spans="1:11" x14ac:dyDescent="0.2">
      <c r="A60" s="499" t="str">
        <f>+A33</f>
        <v>Salesforce.com</v>
      </c>
      <c r="D60" s="5">
        <v>2004</v>
      </c>
      <c r="E60" s="313">
        <f>+K42</f>
        <v>174.13</v>
      </c>
      <c r="G60" s="5">
        <v>2005</v>
      </c>
      <c r="H60" s="313">
        <f>+K43</f>
        <v>302.38900000000001</v>
      </c>
    </row>
    <row r="61" spans="1:11" x14ac:dyDescent="0.2">
      <c r="A61" s="499" t="str">
        <f>+A34</f>
        <v>Tesla</v>
      </c>
      <c r="D61" s="5">
        <v>2010</v>
      </c>
      <c r="E61" s="313">
        <f>+N42</f>
        <v>113.667</v>
      </c>
      <c r="G61" s="5">
        <v>2011</v>
      </c>
      <c r="H61" s="313">
        <f>+N43</f>
        <v>203.5</v>
      </c>
    </row>
    <row r="62" spans="1:11" x14ac:dyDescent="0.2">
      <c r="A62" s="499" t="str">
        <f>+A35</f>
        <v>Facebook</v>
      </c>
      <c r="D62" s="5">
        <v>2012</v>
      </c>
      <c r="E62" s="313">
        <f>+E42</f>
        <v>5014.9380000000001</v>
      </c>
      <c r="G62" s="5">
        <v>2013</v>
      </c>
      <c r="H62" s="313">
        <f>+E43</f>
        <v>7631.8379999999997</v>
      </c>
    </row>
    <row r="63" spans="1:11" x14ac:dyDescent="0.2">
      <c r="A63" s="499" t="str">
        <f>+A36</f>
        <v>Splunk</v>
      </c>
      <c r="D63" s="5">
        <v>2012</v>
      </c>
      <c r="E63" s="313">
        <f>+Q42</f>
        <v>193.667</v>
      </c>
      <c r="G63" s="5">
        <v>2013</v>
      </c>
      <c r="H63" s="313">
        <f>+Q43</f>
        <v>292.78300000000002</v>
      </c>
    </row>
    <row r="64" spans="1:11" x14ac:dyDescent="0.2">
      <c r="A64" s="499" t="str">
        <f>+A37</f>
        <v>Twitter</v>
      </c>
      <c r="D64" s="5">
        <v>2013</v>
      </c>
      <c r="E64" s="313">
        <f>+B42</f>
        <v>639.32000000000005</v>
      </c>
      <c r="G64" s="5">
        <v>2014</v>
      </c>
      <c r="H64" s="313">
        <f>+H24</f>
        <v>1130</v>
      </c>
    </row>
    <row r="65" spans="1:10" x14ac:dyDescent="0.2">
      <c r="A65" s="499"/>
    </row>
    <row r="66" spans="1:10" x14ac:dyDescent="0.2">
      <c r="A66" s="501" t="s">
        <v>2276</v>
      </c>
      <c r="B66" s="469"/>
      <c r="C66" s="469"/>
      <c r="D66" s="469"/>
      <c r="E66" s="469"/>
      <c r="F66" s="469"/>
      <c r="G66" s="469"/>
      <c r="H66" s="469"/>
      <c r="I66" s="469"/>
      <c r="J66" s="469"/>
    </row>
    <row r="67" spans="1:10" x14ac:dyDescent="0.2">
      <c r="A67" s="499"/>
    </row>
    <row r="68" spans="1:10" x14ac:dyDescent="0.2">
      <c r="A68" s="499"/>
      <c r="E68" s="482" t="s">
        <v>2294</v>
      </c>
      <c r="H68" s="482" t="s">
        <v>2295</v>
      </c>
    </row>
    <row r="69" spans="1:10" x14ac:dyDescent="0.2">
      <c r="A69" s="499" t="str">
        <f>+A59</f>
        <v>Illumina</v>
      </c>
    </row>
    <row r="70" spans="1:10" x14ac:dyDescent="0.2">
      <c r="A70" s="499" t="str">
        <f t="shared" ref="A70:A74" si="9">+A60</f>
        <v>Salesforce.com</v>
      </c>
    </row>
    <row r="71" spans="1:10" x14ac:dyDescent="0.2">
      <c r="A71" s="499" t="str">
        <f t="shared" si="9"/>
        <v>Tesla</v>
      </c>
    </row>
    <row r="72" spans="1:10" x14ac:dyDescent="0.2">
      <c r="A72" s="499" t="str">
        <f t="shared" si="9"/>
        <v>Facebook</v>
      </c>
    </row>
    <row r="73" spans="1:10" x14ac:dyDescent="0.2">
      <c r="A73" s="499" t="str">
        <f t="shared" si="9"/>
        <v>Splunk</v>
      </c>
    </row>
    <row r="74" spans="1:10" x14ac:dyDescent="0.2">
      <c r="A74" s="499" t="str">
        <f t="shared" si="9"/>
        <v>Twitter</v>
      </c>
    </row>
    <row r="75" spans="1:10" x14ac:dyDescent="0.2">
      <c r="A75" s="499"/>
    </row>
    <row r="76" spans="1:10" x14ac:dyDescent="0.2">
      <c r="A76" s="499"/>
    </row>
    <row r="77" spans="1:10" x14ac:dyDescent="0.2">
      <c r="A77" s="499"/>
    </row>
    <row r="78" spans="1:10" x14ac:dyDescent="0.2">
      <c r="A78" s="499"/>
    </row>
    <row r="79" spans="1:10" x14ac:dyDescent="0.2">
      <c r="A79" s="499"/>
    </row>
    <row r="80" spans="1:10" x14ac:dyDescent="0.2">
      <c r="A80" s="499"/>
    </row>
    <row r="81" spans="1:1" x14ac:dyDescent="0.2">
      <c r="A81" s="499"/>
    </row>
    <row r="82" spans="1:1" x14ac:dyDescent="0.2">
      <c r="A82" s="499"/>
    </row>
    <row r="83" spans="1:1" x14ac:dyDescent="0.2">
      <c r="A83" s="499"/>
    </row>
    <row r="84" spans="1:1" x14ac:dyDescent="0.2">
      <c r="A84" s="499"/>
    </row>
    <row r="85" spans="1:1" x14ac:dyDescent="0.2">
      <c r="A85" s="499"/>
    </row>
    <row r="86" spans="1:1" x14ac:dyDescent="0.2">
      <c r="A86" s="499"/>
    </row>
    <row r="87" spans="1:1" x14ac:dyDescent="0.2">
      <c r="A87" s="499"/>
    </row>
    <row r="88" spans="1:1" x14ac:dyDescent="0.2">
      <c r="A88" s="499"/>
    </row>
    <row r="89" spans="1:1" x14ac:dyDescent="0.2">
      <c r="A89" s="499"/>
    </row>
    <row r="90" spans="1:1" x14ac:dyDescent="0.2">
      <c r="A90" s="499"/>
    </row>
    <row r="91" spans="1:1" x14ac:dyDescent="0.2">
      <c r="A91" s="499"/>
    </row>
    <row r="92" spans="1:1" x14ac:dyDescent="0.2">
      <c r="A92" s="499"/>
    </row>
    <row r="93" spans="1:1" x14ac:dyDescent="0.2">
      <c r="A93" s="499"/>
    </row>
    <row r="94" spans="1:1" x14ac:dyDescent="0.2">
      <c r="A94" s="499"/>
    </row>
    <row r="95" spans="1:1" x14ac:dyDescent="0.2">
      <c r="A95" s="499"/>
    </row>
    <row r="96" spans="1:1" x14ac:dyDescent="0.2">
      <c r="A96" s="499"/>
    </row>
    <row r="97" spans="1:1" x14ac:dyDescent="0.2">
      <c r="A97" s="499"/>
    </row>
    <row r="98" spans="1:1" x14ac:dyDescent="0.2">
      <c r="A98" s="499"/>
    </row>
    <row r="99" spans="1:1" x14ac:dyDescent="0.2">
      <c r="A99" s="499"/>
    </row>
    <row r="100" spans="1:1" x14ac:dyDescent="0.2">
      <c r="A100" s="499"/>
    </row>
    <row r="101" spans="1:1" x14ac:dyDescent="0.2">
      <c r="A101" s="499"/>
    </row>
    <row r="102" spans="1:1" x14ac:dyDescent="0.2">
      <c r="A102" s="499"/>
    </row>
    <row r="103" spans="1:1" x14ac:dyDescent="0.2">
      <c r="A103" s="499"/>
    </row>
    <row r="104" spans="1:1" x14ac:dyDescent="0.2">
      <c r="A104" s="499"/>
    </row>
    <row r="105" spans="1:1" x14ac:dyDescent="0.2">
      <c r="A105" s="49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F35"/>
  <sheetViews>
    <sheetView showGridLines="0" workbookViewId="0"/>
  </sheetViews>
  <sheetFormatPr defaultRowHeight="12.75" x14ac:dyDescent="0.2"/>
  <cols>
    <col min="1" max="1" width="22" style="1" bestFit="1" customWidth="1"/>
    <col min="2" max="6" width="15.7109375" style="1" customWidth="1"/>
    <col min="7" max="16384" width="9.140625" style="1"/>
  </cols>
  <sheetData>
    <row r="2" spans="1:6" ht="18" customHeight="1" x14ac:dyDescent="0.2">
      <c r="B2" s="464" t="str">
        <f ca="1">+OFFSET(C32,'PFM Rev Model-Bottoms Up'!D113,0)</f>
        <v>PFM Base Case</v>
      </c>
      <c r="C2" s="465"/>
      <c r="D2" s="465"/>
      <c r="E2" s="465"/>
      <c r="F2" s="465"/>
    </row>
    <row r="3" spans="1:6" x14ac:dyDescent="0.2">
      <c r="B3" s="466">
        <v>2014</v>
      </c>
      <c r="C3" s="466">
        <f>+B3+1</f>
        <v>2015</v>
      </c>
      <c r="D3" s="466">
        <f t="shared" ref="D3:F3" si="0">+C3+1</f>
        <v>2016</v>
      </c>
      <c r="E3" s="466">
        <f t="shared" si="0"/>
        <v>2017</v>
      </c>
      <c r="F3" s="466">
        <f t="shared" si="0"/>
        <v>2018</v>
      </c>
    </row>
    <row r="4" spans="1:6" x14ac:dyDescent="0.2">
      <c r="B4" s="467"/>
      <c r="C4" s="467"/>
      <c r="D4" s="467"/>
      <c r="E4" s="467"/>
      <c r="F4" s="467"/>
    </row>
    <row r="5" spans="1:6" x14ac:dyDescent="0.2">
      <c r="A5" s="5" t="s">
        <v>1</v>
      </c>
      <c r="B5" s="11">
        <f ca="1">+Valuation!C19</f>
        <v>249.11748232159374</v>
      </c>
      <c r="C5" s="11">
        <f ca="1">+Valuation!D19</f>
        <v>1557.9781173868364</v>
      </c>
      <c r="D5" s="11">
        <f ca="1">+Valuation!E19</f>
        <v>3540.313731943022</v>
      </c>
      <c r="E5" s="11">
        <f ca="1">+Valuation!F19</f>
        <v>4726.8853023511201</v>
      </c>
      <c r="F5" s="11">
        <f ca="1">+Valuation!G19</f>
        <v>5106.365481886387</v>
      </c>
    </row>
    <row r="6" spans="1:6" x14ac:dyDescent="0.2">
      <c r="A6" s="4" t="s">
        <v>0</v>
      </c>
      <c r="B6" s="468"/>
      <c r="C6" s="456">
        <f ca="1">+C5/B5-1</f>
        <v>5.2539894947059258</v>
      </c>
      <c r="D6" s="456">
        <f t="shared" ref="D6:F6" ca="1" si="1">+D5/C5-1</f>
        <v>1.2723770587234657</v>
      </c>
      <c r="E6" s="456">
        <f t="shared" ca="1" si="1"/>
        <v>0.3351600056520625</v>
      </c>
      <c r="F6" s="456">
        <f t="shared" ca="1" si="1"/>
        <v>8.0281232833493199E-2</v>
      </c>
    </row>
    <row r="7" spans="1:6" x14ac:dyDescent="0.2">
      <c r="A7" s="4"/>
      <c r="B7" s="468"/>
      <c r="C7" s="456"/>
      <c r="D7" s="456"/>
      <c r="E7" s="456"/>
      <c r="F7" s="456"/>
    </row>
    <row r="8" spans="1:6" x14ac:dyDescent="0.2">
      <c r="A8" s="4" t="s">
        <v>2297</v>
      </c>
      <c r="B8" s="453">
        <f>COUNT('Store Build'!F77:F104)</f>
        <v>3</v>
      </c>
      <c r="C8" s="453">
        <f>COUNT('Store Build'!G77:G104)</f>
        <v>18</v>
      </c>
      <c r="D8" s="453">
        <f>COUNT('Store Build'!H77:H104)</f>
        <v>18</v>
      </c>
      <c r="E8" s="453">
        <f>COUNT('Store Build'!I77:I104)</f>
        <v>18</v>
      </c>
      <c r="F8" s="453">
        <f>COUNT('Store Build'!J77:J104)</f>
        <v>18</v>
      </c>
    </row>
    <row r="9" spans="1:6" x14ac:dyDescent="0.2">
      <c r="A9" s="4" t="s">
        <v>2298</v>
      </c>
      <c r="B9" s="456">
        <f>'Store Build'!F106</f>
        <v>0.03</v>
      </c>
      <c r="C9" s="456">
        <f>'Store Build'!G106</f>
        <v>4.3333333333333349E-2</v>
      </c>
      <c r="D9" s="456">
        <f>'Store Build'!H106</f>
        <v>0.12333333333333335</v>
      </c>
      <c r="E9" s="456">
        <f>'Store Build'!I106</f>
        <v>0.18999999999999997</v>
      </c>
      <c r="F9" s="456">
        <f>'Store Build'!J106</f>
        <v>0.18999999999999997</v>
      </c>
    </row>
    <row r="11" spans="1:6" x14ac:dyDescent="0.2">
      <c r="A11" s="1" t="s">
        <v>251</v>
      </c>
      <c r="B11" s="7">
        <f ca="1">+Valuation!C22</f>
        <v>90.041102353001591</v>
      </c>
      <c r="C11" s="7">
        <f ca="1">+Valuation!D22</f>
        <v>545.3787445514572</v>
      </c>
      <c r="D11" s="7">
        <f ca="1">+Valuation!E22</f>
        <v>1268.8369698060496</v>
      </c>
      <c r="E11" s="7">
        <f ca="1">+Valuation!F22</f>
        <v>1701.774183896759</v>
      </c>
      <c r="F11" s="7">
        <f ca="1">+Valuation!G22</f>
        <v>1788.641945345119</v>
      </c>
    </row>
    <row r="12" spans="1:6" x14ac:dyDescent="0.2">
      <c r="A12" s="4" t="s">
        <v>2</v>
      </c>
      <c r="B12" s="456">
        <f ca="1">+B11/B5</f>
        <v>0.36144031929788312</v>
      </c>
      <c r="C12" s="456">
        <f t="shared" ref="C12:F12" ca="1" si="2">+C11/C5</f>
        <v>0.3500554587160758</v>
      </c>
      <c r="D12" s="456">
        <f t="shared" ca="1" si="2"/>
        <v>0.35839675968764406</v>
      </c>
      <c r="E12" s="456">
        <f t="shared" ca="1" si="2"/>
        <v>0.36002019830062482</v>
      </c>
      <c r="F12" s="456">
        <f t="shared" ca="1" si="2"/>
        <v>0.35027691450796061</v>
      </c>
    </row>
    <row r="13" spans="1:6" x14ac:dyDescent="0.2">
      <c r="A13" s="4"/>
    </row>
    <row r="14" spans="1:6" x14ac:dyDescent="0.2">
      <c r="A14" s="1" t="s">
        <v>252</v>
      </c>
      <c r="B14" s="7">
        <f>+Valuation!C25</f>
        <v>95</v>
      </c>
      <c r="C14" s="7">
        <f>+Valuation!D25</f>
        <v>270</v>
      </c>
      <c r="D14" s="7">
        <f>+Valuation!E25</f>
        <v>324</v>
      </c>
      <c r="E14" s="7">
        <f>+Valuation!F25</f>
        <v>356.40000000000003</v>
      </c>
      <c r="F14" s="7">
        <f>+Valuation!G25</f>
        <v>384.91200000000003</v>
      </c>
    </row>
    <row r="15" spans="1:6" x14ac:dyDescent="0.2">
      <c r="A15" s="4" t="s">
        <v>2</v>
      </c>
      <c r="B15" s="456">
        <f ca="1">+B14/B5</f>
        <v>0.38134617897816364</v>
      </c>
      <c r="C15" s="456">
        <f ca="1">+C14/C5</f>
        <v>0.17330153548810126</v>
      </c>
      <c r="D15" s="456">
        <f ca="1">+D14/D5</f>
        <v>9.1517313021346233E-2</v>
      </c>
      <c r="E15" s="456">
        <f ca="1">+E14/E5</f>
        <v>7.5398486995808658E-2</v>
      </c>
      <c r="F15" s="456">
        <f ca="1">+F14/F5</f>
        <v>7.537885828293793E-2</v>
      </c>
    </row>
    <row r="16" spans="1:6" x14ac:dyDescent="0.2">
      <c r="A16" s="4" t="s">
        <v>0</v>
      </c>
      <c r="B16" s="456"/>
      <c r="C16" s="456">
        <f>Valuation!D27</f>
        <v>1.8421052631578947</v>
      </c>
      <c r="D16" s="456">
        <f>Valuation!E27</f>
        <v>0.2</v>
      </c>
      <c r="E16" s="456">
        <f>Valuation!F27</f>
        <v>0.1</v>
      </c>
      <c r="F16" s="456">
        <f>Valuation!G27</f>
        <v>0.08</v>
      </c>
    </row>
    <row r="17" spans="1:6" x14ac:dyDescent="0.2">
      <c r="A17" s="4"/>
    </row>
    <row r="18" spans="1:6" ht="18" customHeight="1" x14ac:dyDescent="0.2">
      <c r="A18" s="1" t="s">
        <v>253</v>
      </c>
      <c r="B18" s="7">
        <f>+Valuation!C29</f>
        <v>106</v>
      </c>
      <c r="C18" s="7">
        <f>+Valuation!D29</f>
        <v>400</v>
      </c>
      <c r="D18" s="7">
        <f>+Valuation!E29</f>
        <v>500</v>
      </c>
      <c r="E18" s="7">
        <f>+Valuation!F29</f>
        <v>550</v>
      </c>
      <c r="F18" s="7">
        <f>+Valuation!G29</f>
        <v>577.5</v>
      </c>
    </row>
    <row r="19" spans="1:6" x14ac:dyDescent="0.2">
      <c r="A19" s="4" t="s">
        <v>2</v>
      </c>
      <c r="B19" s="456">
        <f ca="1">+B18/B5</f>
        <v>0.42550205233352995</v>
      </c>
      <c r="C19" s="456">
        <f ca="1">+C18/C5</f>
        <v>0.25674301553792778</v>
      </c>
      <c r="D19" s="456">
        <f ca="1">+D18/D5</f>
        <v>0.14123042132923802</v>
      </c>
      <c r="E19" s="456">
        <f ca="1">+E18/E5</f>
        <v>0.11635568980834669</v>
      </c>
      <c r="F19" s="456">
        <f ca="1">+F18/F5</f>
        <v>0.11309413751298128</v>
      </c>
    </row>
    <row r="20" spans="1:6" x14ac:dyDescent="0.2">
      <c r="A20" s="4" t="s">
        <v>0</v>
      </c>
      <c r="C20" s="456">
        <f>Valuation!D31</f>
        <v>2.7735849056603774</v>
      </c>
      <c r="D20" s="456">
        <f>Valuation!E31</f>
        <v>0.25</v>
      </c>
      <c r="E20" s="456">
        <f>Valuation!F31</f>
        <v>0.1</v>
      </c>
      <c r="F20" s="456">
        <f>Valuation!G31</f>
        <v>0.05</v>
      </c>
    </row>
    <row r="21" spans="1:6" x14ac:dyDescent="0.2">
      <c r="A21" s="4"/>
    </row>
    <row r="22" spans="1:6" x14ac:dyDescent="0.2">
      <c r="A22" s="332" t="s">
        <v>111</v>
      </c>
      <c r="B22" s="7">
        <f ca="1">+B5-B11-B14-B18</f>
        <v>-41.923620031407836</v>
      </c>
      <c r="C22" s="7">
        <f ca="1">+C5-C11-C14-C18</f>
        <v>342.5993728353792</v>
      </c>
      <c r="D22" s="7">
        <f ca="1">+D5-D11-D14-D18</f>
        <v>1447.4767621369724</v>
      </c>
      <c r="E22" s="7">
        <f ca="1">+E5-E11-E14-E18</f>
        <v>2118.711118454361</v>
      </c>
      <c r="F22" s="7">
        <f ca="1">+F5-F11-F14-F18</f>
        <v>2355.3115365412677</v>
      </c>
    </row>
    <row r="23" spans="1:6" x14ac:dyDescent="0.2">
      <c r="A23" s="306" t="s">
        <v>2</v>
      </c>
    </row>
    <row r="24" spans="1:6" x14ac:dyDescent="0.2">
      <c r="A24" s="306"/>
    </row>
    <row r="25" spans="1:6" x14ac:dyDescent="0.2">
      <c r="A25" s="289" t="s">
        <v>262</v>
      </c>
      <c r="B25" s="7">
        <f>+Valuation!C36</f>
        <v>4</v>
      </c>
      <c r="C25" s="7">
        <f>+Valuation!D36</f>
        <v>21</v>
      </c>
      <c r="D25" s="7">
        <f ca="1">+Valuation!E36</f>
        <v>106.20941195829066</v>
      </c>
      <c r="E25" s="7">
        <f ca="1">+Valuation!F36</f>
        <v>236.34426511755601</v>
      </c>
      <c r="F25" s="7">
        <f ca="1">+Valuation!G36</f>
        <v>255.31827409431935</v>
      </c>
    </row>
    <row r="26" spans="1:6" x14ac:dyDescent="0.2">
      <c r="A26" s="306" t="s">
        <v>2</v>
      </c>
      <c r="B26" s="456">
        <f ca="1">+B25/B5</f>
        <v>1.6056681220133207E-2</v>
      </c>
      <c r="C26" s="456">
        <f ca="1">+C25/C5</f>
        <v>1.3479008315741208E-2</v>
      </c>
      <c r="D26" s="456">
        <f ca="1">+D25/D5</f>
        <v>0.03</v>
      </c>
      <c r="E26" s="456">
        <f ca="1">+E25/E5</f>
        <v>0.05</v>
      </c>
      <c r="F26" s="456">
        <f ca="1">+F25/F5</f>
        <v>0.05</v>
      </c>
    </row>
    <row r="27" spans="1:6" x14ac:dyDescent="0.2">
      <c r="A27" s="306"/>
    </row>
    <row r="28" spans="1:6" x14ac:dyDescent="0.2">
      <c r="A28" s="332" t="s">
        <v>9</v>
      </c>
      <c r="B28" s="7">
        <f ca="1">+B22-B25</f>
        <v>-45.923620031407836</v>
      </c>
      <c r="C28" s="7">
        <f t="shared" ref="C28:F28" ca="1" si="3">+C22-C25</f>
        <v>321.5993728353792</v>
      </c>
      <c r="D28" s="7">
        <f t="shared" ca="1" si="3"/>
        <v>1341.2673501786817</v>
      </c>
      <c r="E28" s="7">
        <f t="shared" ca="1" si="3"/>
        <v>1882.366853336805</v>
      </c>
      <c r="F28" s="7">
        <f t="shared" ca="1" si="3"/>
        <v>2099.9932624469484</v>
      </c>
    </row>
    <row r="29" spans="1:6" x14ac:dyDescent="0.2">
      <c r="A29" s="306" t="s">
        <v>2</v>
      </c>
      <c r="B29" s="456">
        <f ca="1">+B28/B5</f>
        <v>-0.18434523182970983</v>
      </c>
      <c r="C29" s="456">
        <f ca="1">+C28/C5</f>
        <v>0.20642098194215397</v>
      </c>
      <c r="D29" s="456">
        <f ca="1">+D28/D5</f>
        <v>0.37885550596177164</v>
      </c>
      <c r="E29" s="456">
        <f ca="1">+E28/E5</f>
        <v>0.39822562489521984</v>
      </c>
      <c r="F29" s="456">
        <f ca="1">+F28/F5</f>
        <v>0.41125008969612015</v>
      </c>
    </row>
    <row r="33" spans="3:3" x14ac:dyDescent="0.2">
      <c r="C33" s="471" t="s">
        <v>2284</v>
      </c>
    </row>
    <row r="34" spans="3:3" x14ac:dyDescent="0.2">
      <c r="C34" s="472" t="s">
        <v>2283</v>
      </c>
    </row>
    <row r="35" spans="3:3" x14ac:dyDescent="0.2">
      <c r="C35" s="470" t="s">
        <v>2285</v>
      </c>
    </row>
  </sheetData>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8"/>
  <sheetViews>
    <sheetView showGridLines="0" workbookViewId="0">
      <selection activeCell="N16" sqref="N16"/>
    </sheetView>
  </sheetViews>
  <sheetFormatPr defaultRowHeight="15" x14ac:dyDescent="0.25"/>
  <cols>
    <col min="1" max="1" width="19.42578125" bestFit="1" customWidth="1"/>
    <col min="4" max="4" width="19.42578125" bestFit="1" customWidth="1"/>
  </cols>
  <sheetData>
    <row r="2" spans="1:5" x14ac:dyDescent="0.25">
      <c r="A2" s="462" t="s">
        <v>2277</v>
      </c>
      <c r="B2" s="462"/>
      <c r="D2" s="462" t="s">
        <v>2280</v>
      </c>
      <c r="E2" s="462"/>
    </row>
    <row r="4" spans="1:5" x14ac:dyDescent="0.25">
      <c r="A4" t="s">
        <v>2279</v>
      </c>
      <c r="B4" s="463">
        <v>0.61</v>
      </c>
      <c r="D4" t="s">
        <v>5</v>
      </c>
      <c r="E4" s="463">
        <v>0.55000000000000004</v>
      </c>
    </row>
    <row r="5" spans="1:5" x14ac:dyDescent="0.25">
      <c r="A5" t="s">
        <v>7</v>
      </c>
      <c r="B5" s="463">
        <v>0.28000000000000003</v>
      </c>
      <c r="D5" t="s">
        <v>6</v>
      </c>
      <c r="E5" s="463">
        <v>0.33</v>
      </c>
    </row>
    <row r="6" spans="1:5" x14ac:dyDescent="0.25">
      <c r="A6" t="s">
        <v>2278</v>
      </c>
      <c r="B6" s="463">
        <v>0.11</v>
      </c>
      <c r="D6" t="s">
        <v>2281</v>
      </c>
      <c r="E6" s="463">
        <v>0.06</v>
      </c>
    </row>
    <row r="7" spans="1:5" x14ac:dyDescent="0.25">
      <c r="B7" s="463">
        <f>SUM(B4:B6)</f>
        <v>1</v>
      </c>
      <c r="D7" t="s">
        <v>2282</v>
      </c>
      <c r="E7" s="463">
        <v>0.06</v>
      </c>
    </row>
    <row r="8" spans="1:5" x14ac:dyDescent="0.25">
      <c r="E8" s="463">
        <f>SUM(E4:E7)</f>
        <v>1.0000000000000002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962"/>
  <sheetViews>
    <sheetView showGridLines="0" workbookViewId="0">
      <selection activeCell="A2" sqref="A2:H2"/>
    </sheetView>
  </sheetViews>
  <sheetFormatPr defaultRowHeight="11.25" x14ac:dyDescent="0.2"/>
  <cols>
    <col min="1" max="1" width="5.28515625" style="352" customWidth="1"/>
    <col min="2" max="2" width="7.7109375" style="352" customWidth="1"/>
    <col min="3" max="3" width="39.7109375" style="352" customWidth="1"/>
    <col min="4" max="8" width="14.42578125" style="352" customWidth="1"/>
    <col min="9" max="256" width="9.140625" style="352"/>
    <col min="257" max="257" width="5.28515625" style="352" customWidth="1"/>
    <col min="258" max="258" width="7.7109375" style="352" customWidth="1"/>
    <col min="259" max="259" width="39.7109375" style="352" customWidth="1"/>
    <col min="260" max="264" width="14.42578125" style="352" customWidth="1"/>
    <col min="265" max="512" width="9.140625" style="352"/>
    <col min="513" max="513" width="5.28515625" style="352" customWidth="1"/>
    <col min="514" max="514" width="7.7109375" style="352" customWidth="1"/>
    <col min="515" max="515" width="39.7109375" style="352" customWidth="1"/>
    <col min="516" max="520" width="14.42578125" style="352" customWidth="1"/>
    <col min="521" max="768" width="9.140625" style="352"/>
    <col min="769" max="769" width="5.28515625" style="352" customWidth="1"/>
    <col min="770" max="770" width="7.7109375" style="352" customWidth="1"/>
    <col min="771" max="771" width="39.7109375" style="352" customWidth="1"/>
    <col min="772" max="776" width="14.42578125" style="352" customWidth="1"/>
    <col min="777" max="1024" width="9.140625" style="352"/>
    <col min="1025" max="1025" width="5.28515625" style="352" customWidth="1"/>
    <col min="1026" max="1026" width="7.7109375" style="352" customWidth="1"/>
    <col min="1027" max="1027" width="39.7109375" style="352" customWidth="1"/>
    <col min="1028" max="1032" width="14.42578125" style="352" customWidth="1"/>
    <col min="1033" max="1280" width="9.140625" style="352"/>
    <col min="1281" max="1281" width="5.28515625" style="352" customWidth="1"/>
    <col min="1282" max="1282" width="7.7109375" style="352" customWidth="1"/>
    <col min="1283" max="1283" width="39.7109375" style="352" customWidth="1"/>
    <col min="1284" max="1288" width="14.42578125" style="352" customWidth="1"/>
    <col min="1289" max="1536" width="9.140625" style="352"/>
    <col min="1537" max="1537" width="5.28515625" style="352" customWidth="1"/>
    <col min="1538" max="1538" width="7.7109375" style="352" customWidth="1"/>
    <col min="1539" max="1539" width="39.7109375" style="352" customWidth="1"/>
    <col min="1540" max="1544" width="14.42578125" style="352" customWidth="1"/>
    <col min="1545" max="1792" width="9.140625" style="352"/>
    <col min="1793" max="1793" width="5.28515625" style="352" customWidth="1"/>
    <col min="1794" max="1794" width="7.7109375" style="352" customWidth="1"/>
    <col min="1795" max="1795" width="39.7109375" style="352" customWidth="1"/>
    <col min="1796" max="1800" width="14.42578125" style="352" customWidth="1"/>
    <col min="1801" max="2048" width="9.140625" style="352"/>
    <col min="2049" max="2049" width="5.28515625" style="352" customWidth="1"/>
    <col min="2050" max="2050" width="7.7109375" style="352" customWidth="1"/>
    <col min="2051" max="2051" width="39.7109375" style="352" customWidth="1"/>
    <col min="2052" max="2056" width="14.42578125" style="352" customWidth="1"/>
    <col min="2057" max="2304" width="9.140625" style="352"/>
    <col min="2305" max="2305" width="5.28515625" style="352" customWidth="1"/>
    <col min="2306" max="2306" width="7.7109375" style="352" customWidth="1"/>
    <col min="2307" max="2307" width="39.7109375" style="352" customWidth="1"/>
    <col min="2308" max="2312" width="14.42578125" style="352" customWidth="1"/>
    <col min="2313" max="2560" width="9.140625" style="352"/>
    <col min="2561" max="2561" width="5.28515625" style="352" customWidth="1"/>
    <col min="2562" max="2562" width="7.7109375" style="352" customWidth="1"/>
    <col min="2563" max="2563" width="39.7109375" style="352" customWidth="1"/>
    <col min="2564" max="2568" width="14.42578125" style="352" customWidth="1"/>
    <col min="2569" max="2816" width="9.140625" style="352"/>
    <col min="2817" max="2817" width="5.28515625" style="352" customWidth="1"/>
    <col min="2818" max="2818" width="7.7109375" style="352" customWidth="1"/>
    <col min="2819" max="2819" width="39.7109375" style="352" customWidth="1"/>
    <col min="2820" max="2824" width="14.42578125" style="352" customWidth="1"/>
    <col min="2825" max="3072" width="9.140625" style="352"/>
    <col min="3073" max="3073" width="5.28515625" style="352" customWidth="1"/>
    <col min="3074" max="3074" width="7.7109375" style="352" customWidth="1"/>
    <col min="3075" max="3075" width="39.7109375" style="352" customWidth="1"/>
    <col min="3076" max="3080" width="14.42578125" style="352" customWidth="1"/>
    <col min="3081" max="3328" width="9.140625" style="352"/>
    <col min="3329" max="3329" width="5.28515625" style="352" customWidth="1"/>
    <col min="3330" max="3330" width="7.7109375" style="352" customWidth="1"/>
    <col min="3331" max="3331" width="39.7109375" style="352" customWidth="1"/>
    <col min="3332" max="3336" width="14.42578125" style="352" customWidth="1"/>
    <col min="3337" max="3584" width="9.140625" style="352"/>
    <col min="3585" max="3585" width="5.28515625" style="352" customWidth="1"/>
    <col min="3586" max="3586" width="7.7109375" style="352" customWidth="1"/>
    <col min="3587" max="3587" width="39.7109375" style="352" customWidth="1"/>
    <col min="3588" max="3592" width="14.42578125" style="352" customWidth="1"/>
    <col min="3593" max="3840" width="9.140625" style="352"/>
    <col min="3841" max="3841" width="5.28515625" style="352" customWidth="1"/>
    <col min="3842" max="3842" width="7.7109375" style="352" customWidth="1"/>
    <col min="3843" max="3843" width="39.7109375" style="352" customWidth="1"/>
    <col min="3844" max="3848" width="14.42578125" style="352" customWidth="1"/>
    <col min="3849" max="4096" width="9.140625" style="352"/>
    <col min="4097" max="4097" width="5.28515625" style="352" customWidth="1"/>
    <col min="4098" max="4098" width="7.7109375" style="352" customWidth="1"/>
    <col min="4099" max="4099" width="39.7109375" style="352" customWidth="1"/>
    <col min="4100" max="4104" width="14.42578125" style="352" customWidth="1"/>
    <col min="4105" max="4352" width="9.140625" style="352"/>
    <col min="4353" max="4353" width="5.28515625" style="352" customWidth="1"/>
    <col min="4354" max="4354" width="7.7109375" style="352" customWidth="1"/>
    <col min="4355" max="4355" width="39.7109375" style="352" customWidth="1"/>
    <col min="4356" max="4360" width="14.42578125" style="352" customWidth="1"/>
    <col min="4361" max="4608" width="9.140625" style="352"/>
    <col min="4609" max="4609" width="5.28515625" style="352" customWidth="1"/>
    <col min="4610" max="4610" width="7.7109375" style="352" customWidth="1"/>
    <col min="4611" max="4611" width="39.7109375" style="352" customWidth="1"/>
    <col min="4612" max="4616" width="14.42578125" style="352" customWidth="1"/>
    <col min="4617" max="4864" width="9.140625" style="352"/>
    <col min="4865" max="4865" width="5.28515625" style="352" customWidth="1"/>
    <col min="4866" max="4866" width="7.7109375" style="352" customWidth="1"/>
    <col min="4867" max="4867" width="39.7109375" style="352" customWidth="1"/>
    <col min="4868" max="4872" width="14.42578125" style="352" customWidth="1"/>
    <col min="4873" max="5120" width="9.140625" style="352"/>
    <col min="5121" max="5121" width="5.28515625" style="352" customWidth="1"/>
    <col min="5122" max="5122" width="7.7109375" style="352" customWidth="1"/>
    <col min="5123" max="5123" width="39.7109375" style="352" customWidth="1"/>
    <col min="5124" max="5128" width="14.42578125" style="352" customWidth="1"/>
    <col min="5129" max="5376" width="9.140625" style="352"/>
    <col min="5377" max="5377" width="5.28515625" style="352" customWidth="1"/>
    <col min="5378" max="5378" width="7.7109375" style="352" customWidth="1"/>
    <col min="5379" max="5379" width="39.7109375" style="352" customWidth="1"/>
    <col min="5380" max="5384" width="14.42578125" style="352" customWidth="1"/>
    <col min="5385" max="5632" width="9.140625" style="352"/>
    <col min="5633" max="5633" width="5.28515625" style="352" customWidth="1"/>
    <col min="5634" max="5634" width="7.7109375" style="352" customWidth="1"/>
    <col min="5635" max="5635" width="39.7109375" style="352" customWidth="1"/>
    <col min="5636" max="5640" width="14.42578125" style="352" customWidth="1"/>
    <col min="5641" max="5888" width="9.140625" style="352"/>
    <col min="5889" max="5889" width="5.28515625" style="352" customWidth="1"/>
    <col min="5890" max="5890" width="7.7109375" style="352" customWidth="1"/>
    <col min="5891" max="5891" width="39.7109375" style="352" customWidth="1"/>
    <col min="5892" max="5896" width="14.42578125" style="352" customWidth="1"/>
    <col min="5897" max="6144" width="9.140625" style="352"/>
    <col min="6145" max="6145" width="5.28515625" style="352" customWidth="1"/>
    <col min="6146" max="6146" width="7.7109375" style="352" customWidth="1"/>
    <col min="6147" max="6147" width="39.7109375" style="352" customWidth="1"/>
    <col min="6148" max="6152" width="14.42578125" style="352" customWidth="1"/>
    <col min="6153" max="6400" width="9.140625" style="352"/>
    <col min="6401" max="6401" width="5.28515625" style="352" customWidth="1"/>
    <col min="6402" max="6402" width="7.7109375" style="352" customWidth="1"/>
    <col min="6403" max="6403" width="39.7109375" style="352" customWidth="1"/>
    <col min="6404" max="6408" width="14.42578125" style="352" customWidth="1"/>
    <col min="6409" max="6656" width="9.140625" style="352"/>
    <col min="6657" max="6657" width="5.28515625" style="352" customWidth="1"/>
    <col min="6658" max="6658" width="7.7109375" style="352" customWidth="1"/>
    <col min="6659" max="6659" width="39.7109375" style="352" customWidth="1"/>
    <col min="6660" max="6664" width="14.42578125" style="352" customWidth="1"/>
    <col min="6665" max="6912" width="9.140625" style="352"/>
    <col min="6913" max="6913" width="5.28515625" style="352" customWidth="1"/>
    <col min="6914" max="6914" width="7.7109375" style="352" customWidth="1"/>
    <col min="6915" max="6915" width="39.7109375" style="352" customWidth="1"/>
    <col min="6916" max="6920" width="14.42578125" style="352" customWidth="1"/>
    <col min="6921" max="7168" width="9.140625" style="352"/>
    <col min="7169" max="7169" width="5.28515625" style="352" customWidth="1"/>
    <col min="7170" max="7170" width="7.7109375" style="352" customWidth="1"/>
    <col min="7171" max="7171" width="39.7109375" style="352" customWidth="1"/>
    <col min="7172" max="7176" width="14.42578125" style="352" customWidth="1"/>
    <col min="7177" max="7424" width="9.140625" style="352"/>
    <col min="7425" max="7425" width="5.28515625" style="352" customWidth="1"/>
    <col min="7426" max="7426" width="7.7109375" style="352" customWidth="1"/>
    <col min="7427" max="7427" width="39.7109375" style="352" customWidth="1"/>
    <col min="7428" max="7432" width="14.42578125" style="352" customWidth="1"/>
    <col min="7433" max="7680" width="9.140625" style="352"/>
    <col min="7681" max="7681" width="5.28515625" style="352" customWidth="1"/>
    <col min="7682" max="7682" width="7.7109375" style="352" customWidth="1"/>
    <col min="7683" max="7683" width="39.7109375" style="352" customWidth="1"/>
    <col min="7684" max="7688" width="14.42578125" style="352" customWidth="1"/>
    <col min="7689" max="7936" width="9.140625" style="352"/>
    <col min="7937" max="7937" width="5.28515625" style="352" customWidth="1"/>
    <col min="7938" max="7938" width="7.7109375" style="352" customWidth="1"/>
    <col min="7939" max="7939" width="39.7109375" style="352" customWidth="1"/>
    <col min="7940" max="7944" width="14.42578125" style="352" customWidth="1"/>
    <col min="7945" max="8192" width="9.140625" style="352"/>
    <col min="8193" max="8193" width="5.28515625" style="352" customWidth="1"/>
    <col min="8194" max="8194" width="7.7109375" style="352" customWidth="1"/>
    <col min="8195" max="8195" width="39.7109375" style="352" customWidth="1"/>
    <col min="8196" max="8200" width="14.42578125" style="352" customWidth="1"/>
    <col min="8201" max="8448" width="9.140625" style="352"/>
    <col min="8449" max="8449" width="5.28515625" style="352" customWidth="1"/>
    <col min="8450" max="8450" width="7.7109375" style="352" customWidth="1"/>
    <col min="8451" max="8451" width="39.7109375" style="352" customWidth="1"/>
    <col min="8452" max="8456" width="14.42578125" style="352" customWidth="1"/>
    <col min="8457" max="8704" width="9.140625" style="352"/>
    <col min="8705" max="8705" width="5.28515625" style="352" customWidth="1"/>
    <col min="8706" max="8706" width="7.7109375" style="352" customWidth="1"/>
    <col min="8707" max="8707" width="39.7109375" style="352" customWidth="1"/>
    <col min="8708" max="8712" width="14.42578125" style="352" customWidth="1"/>
    <col min="8713" max="8960" width="9.140625" style="352"/>
    <col min="8961" max="8961" width="5.28515625" style="352" customWidth="1"/>
    <col min="8962" max="8962" width="7.7109375" style="352" customWidth="1"/>
    <col min="8963" max="8963" width="39.7109375" style="352" customWidth="1"/>
    <col min="8964" max="8968" width="14.42578125" style="352" customWidth="1"/>
    <col min="8969" max="9216" width="9.140625" style="352"/>
    <col min="9217" max="9217" width="5.28515625" style="352" customWidth="1"/>
    <col min="9218" max="9218" width="7.7109375" style="352" customWidth="1"/>
    <col min="9219" max="9219" width="39.7109375" style="352" customWidth="1"/>
    <col min="9220" max="9224" width="14.42578125" style="352" customWidth="1"/>
    <col min="9225" max="9472" width="9.140625" style="352"/>
    <col min="9473" max="9473" width="5.28515625" style="352" customWidth="1"/>
    <col min="9474" max="9474" width="7.7109375" style="352" customWidth="1"/>
    <col min="9475" max="9475" width="39.7109375" style="352" customWidth="1"/>
    <col min="9476" max="9480" width="14.42578125" style="352" customWidth="1"/>
    <col min="9481" max="9728" width="9.140625" style="352"/>
    <col min="9729" max="9729" width="5.28515625" style="352" customWidth="1"/>
    <col min="9730" max="9730" width="7.7109375" style="352" customWidth="1"/>
    <col min="9731" max="9731" width="39.7109375" style="352" customWidth="1"/>
    <col min="9732" max="9736" width="14.42578125" style="352" customWidth="1"/>
    <col min="9737" max="9984" width="9.140625" style="352"/>
    <col min="9985" max="9985" width="5.28515625" style="352" customWidth="1"/>
    <col min="9986" max="9986" width="7.7109375" style="352" customWidth="1"/>
    <col min="9987" max="9987" width="39.7109375" style="352" customWidth="1"/>
    <col min="9988" max="9992" width="14.42578125" style="352" customWidth="1"/>
    <col min="9993" max="10240" width="9.140625" style="352"/>
    <col min="10241" max="10241" width="5.28515625" style="352" customWidth="1"/>
    <col min="10242" max="10242" width="7.7109375" style="352" customWidth="1"/>
    <col min="10243" max="10243" width="39.7109375" style="352" customWidth="1"/>
    <col min="10244" max="10248" width="14.42578125" style="352" customWidth="1"/>
    <col min="10249" max="10496" width="9.140625" style="352"/>
    <col min="10497" max="10497" width="5.28515625" style="352" customWidth="1"/>
    <col min="10498" max="10498" width="7.7109375" style="352" customWidth="1"/>
    <col min="10499" max="10499" width="39.7109375" style="352" customWidth="1"/>
    <col min="10500" max="10504" width="14.42578125" style="352" customWidth="1"/>
    <col min="10505" max="10752" width="9.140625" style="352"/>
    <col min="10753" max="10753" width="5.28515625" style="352" customWidth="1"/>
    <col min="10754" max="10754" width="7.7109375" style="352" customWidth="1"/>
    <col min="10755" max="10755" width="39.7109375" style="352" customWidth="1"/>
    <col min="10756" max="10760" width="14.42578125" style="352" customWidth="1"/>
    <col min="10761" max="11008" width="9.140625" style="352"/>
    <col min="11009" max="11009" width="5.28515625" style="352" customWidth="1"/>
    <col min="11010" max="11010" width="7.7109375" style="352" customWidth="1"/>
    <col min="11011" max="11011" width="39.7109375" style="352" customWidth="1"/>
    <col min="11012" max="11016" width="14.42578125" style="352" customWidth="1"/>
    <col min="11017" max="11264" width="9.140625" style="352"/>
    <col min="11265" max="11265" width="5.28515625" style="352" customWidth="1"/>
    <col min="11266" max="11266" width="7.7109375" style="352" customWidth="1"/>
    <col min="11267" max="11267" width="39.7109375" style="352" customWidth="1"/>
    <col min="11268" max="11272" width="14.42578125" style="352" customWidth="1"/>
    <col min="11273" max="11520" width="9.140625" style="352"/>
    <col min="11521" max="11521" width="5.28515625" style="352" customWidth="1"/>
    <col min="11522" max="11522" width="7.7109375" style="352" customWidth="1"/>
    <col min="11523" max="11523" width="39.7109375" style="352" customWidth="1"/>
    <col min="11524" max="11528" width="14.42578125" style="352" customWidth="1"/>
    <col min="11529" max="11776" width="9.140625" style="352"/>
    <col min="11777" max="11777" width="5.28515625" style="352" customWidth="1"/>
    <col min="11778" max="11778" width="7.7109375" style="352" customWidth="1"/>
    <col min="11779" max="11779" width="39.7109375" style="352" customWidth="1"/>
    <col min="11780" max="11784" width="14.42578125" style="352" customWidth="1"/>
    <col min="11785" max="12032" width="9.140625" style="352"/>
    <col min="12033" max="12033" width="5.28515625" style="352" customWidth="1"/>
    <col min="12034" max="12034" width="7.7109375" style="352" customWidth="1"/>
    <col min="12035" max="12035" width="39.7109375" style="352" customWidth="1"/>
    <col min="12036" max="12040" width="14.42578125" style="352" customWidth="1"/>
    <col min="12041" max="12288" width="9.140625" style="352"/>
    <col min="12289" max="12289" width="5.28515625" style="352" customWidth="1"/>
    <col min="12290" max="12290" width="7.7109375" style="352" customWidth="1"/>
    <col min="12291" max="12291" width="39.7109375" style="352" customWidth="1"/>
    <col min="12292" max="12296" width="14.42578125" style="352" customWidth="1"/>
    <col min="12297" max="12544" width="9.140625" style="352"/>
    <col min="12545" max="12545" width="5.28515625" style="352" customWidth="1"/>
    <col min="12546" max="12546" width="7.7109375" style="352" customWidth="1"/>
    <col min="12547" max="12547" width="39.7109375" style="352" customWidth="1"/>
    <col min="12548" max="12552" width="14.42578125" style="352" customWidth="1"/>
    <col min="12553" max="12800" width="9.140625" style="352"/>
    <col min="12801" max="12801" width="5.28515625" style="352" customWidth="1"/>
    <col min="12802" max="12802" width="7.7109375" style="352" customWidth="1"/>
    <col min="12803" max="12803" width="39.7109375" style="352" customWidth="1"/>
    <col min="12804" max="12808" width="14.42578125" style="352" customWidth="1"/>
    <col min="12809" max="13056" width="9.140625" style="352"/>
    <col min="13057" max="13057" width="5.28515625" style="352" customWidth="1"/>
    <col min="13058" max="13058" width="7.7109375" style="352" customWidth="1"/>
    <col min="13059" max="13059" width="39.7109375" style="352" customWidth="1"/>
    <col min="13060" max="13064" width="14.42578125" style="352" customWidth="1"/>
    <col min="13065" max="13312" width="9.140625" style="352"/>
    <col min="13313" max="13313" width="5.28515625" style="352" customWidth="1"/>
    <col min="13314" max="13314" width="7.7109375" style="352" customWidth="1"/>
    <col min="13315" max="13315" width="39.7109375" style="352" customWidth="1"/>
    <col min="13316" max="13320" width="14.42578125" style="352" customWidth="1"/>
    <col min="13321" max="13568" width="9.140625" style="352"/>
    <col min="13569" max="13569" width="5.28515625" style="352" customWidth="1"/>
    <col min="13570" max="13570" width="7.7109375" style="352" customWidth="1"/>
    <col min="13571" max="13571" width="39.7109375" style="352" customWidth="1"/>
    <col min="13572" max="13576" width="14.42578125" style="352" customWidth="1"/>
    <col min="13577" max="13824" width="9.140625" style="352"/>
    <col min="13825" max="13825" width="5.28515625" style="352" customWidth="1"/>
    <col min="13826" max="13826" width="7.7109375" style="352" customWidth="1"/>
    <col min="13827" max="13827" width="39.7109375" style="352" customWidth="1"/>
    <col min="13828" max="13832" width="14.42578125" style="352" customWidth="1"/>
    <col min="13833" max="14080" width="9.140625" style="352"/>
    <col min="14081" max="14081" width="5.28515625" style="352" customWidth="1"/>
    <col min="14082" max="14082" width="7.7109375" style="352" customWidth="1"/>
    <col min="14083" max="14083" width="39.7109375" style="352" customWidth="1"/>
    <col min="14084" max="14088" width="14.42578125" style="352" customWidth="1"/>
    <col min="14089" max="14336" width="9.140625" style="352"/>
    <col min="14337" max="14337" width="5.28515625" style="352" customWidth="1"/>
    <col min="14338" max="14338" width="7.7109375" style="352" customWidth="1"/>
    <col min="14339" max="14339" width="39.7109375" style="352" customWidth="1"/>
    <col min="14340" max="14344" width="14.42578125" style="352" customWidth="1"/>
    <col min="14345" max="14592" width="9.140625" style="352"/>
    <col min="14593" max="14593" width="5.28515625" style="352" customWidth="1"/>
    <col min="14594" max="14594" width="7.7109375" style="352" customWidth="1"/>
    <col min="14595" max="14595" width="39.7109375" style="352" customWidth="1"/>
    <col min="14596" max="14600" width="14.42578125" style="352" customWidth="1"/>
    <col min="14601" max="14848" width="9.140625" style="352"/>
    <col min="14849" max="14849" width="5.28515625" style="352" customWidth="1"/>
    <col min="14850" max="14850" width="7.7109375" style="352" customWidth="1"/>
    <col min="14851" max="14851" width="39.7109375" style="352" customWidth="1"/>
    <col min="14852" max="14856" width="14.42578125" style="352" customWidth="1"/>
    <col min="14857" max="15104" width="9.140625" style="352"/>
    <col min="15105" max="15105" width="5.28515625" style="352" customWidth="1"/>
    <col min="15106" max="15106" width="7.7109375" style="352" customWidth="1"/>
    <col min="15107" max="15107" width="39.7109375" style="352" customWidth="1"/>
    <col min="15108" max="15112" width="14.42578125" style="352" customWidth="1"/>
    <col min="15113" max="15360" width="9.140625" style="352"/>
    <col min="15361" max="15361" width="5.28515625" style="352" customWidth="1"/>
    <col min="15362" max="15362" width="7.7109375" style="352" customWidth="1"/>
    <col min="15363" max="15363" width="39.7109375" style="352" customWidth="1"/>
    <col min="15364" max="15368" width="14.42578125" style="352" customWidth="1"/>
    <col min="15369" max="15616" width="9.140625" style="352"/>
    <col min="15617" max="15617" width="5.28515625" style="352" customWidth="1"/>
    <col min="15618" max="15618" width="7.7109375" style="352" customWidth="1"/>
    <col min="15619" max="15619" width="39.7109375" style="352" customWidth="1"/>
    <col min="15620" max="15624" width="14.42578125" style="352" customWidth="1"/>
    <col min="15625" max="15872" width="9.140625" style="352"/>
    <col min="15873" max="15873" width="5.28515625" style="352" customWidth="1"/>
    <col min="15874" max="15874" width="7.7109375" style="352" customWidth="1"/>
    <col min="15875" max="15875" width="39.7109375" style="352" customWidth="1"/>
    <col min="15876" max="15880" width="14.42578125" style="352" customWidth="1"/>
    <col min="15881" max="16128" width="9.140625" style="352"/>
    <col min="16129" max="16129" width="5.28515625" style="352" customWidth="1"/>
    <col min="16130" max="16130" width="7.7109375" style="352" customWidth="1"/>
    <col min="16131" max="16131" width="39.7109375" style="352" customWidth="1"/>
    <col min="16132" max="16136" width="14.42578125" style="352" customWidth="1"/>
    <col min="16137" max="16384" width="9.140625" style="352"/>
  </cols>
  <sheetData>
    <row r="1" spans="1:8" ht="2.25" customHeight="1" x14ac:dyDescent="0.2">
      <c r="A1" s="516" t="s">
        <v>292</v>
      </c>
      <c r="B1" s="516"/>
      <c r="C1" s="516"/>
      <c r="D1" s="516"/>
      <c r="E1" s="516"/>
      <c r="F1" s="516"/>
      <c r="G1" s="516"/>
      <c r="H1" s="516"/>
    </row>
    <row r="2" spans="1:8" ht="11.1" customHeight="1" x14ac:dyDescent="0.2">
      <c r="A2" s="517" t="s">
        <v>293</v>
      </c>
      <c r="B2" s="518"/>
      <c r="C2" s="518"/>
      <c r="D2" s="518"/>
      <c r="E2" s="518"/>
      <c r="F2" s="518"/>
      <c r="G2" s="518"/>
      <c r="H2" s="518"/>
    </row>
    <row r="3" spans="1:8" s="353" customFormat="1" ht="22.5" customHeight="1" x14ac:dyDescent="0.2">
      <c r="A3" s="519" t="s">
        <v>294</v>
      </c>
      <c r="B3" s="519" t="s">
        <v>295</v>
      </c>
      <c r="C3" s="519" t="s">
        <v>296</v>
      </c>
      <c r="D3" s="521">
        <v>40269</v>
      </c>
      <c r="E3" s="522"/>
      <c r="F3" s="517" t="s">
        <v>297</v>
      </c>
      <c r="G3" s="523"/>
      <c r="H3" s="523"/>
    </row>
    <row r="4" spans="1:8" s="355" customFormat="1" ht="22.5" customHeight="1" x14ac:dyDescent="0.2">
      <c r="A4" s="520"/>
      <c r="B4" s="520"/>
      <c r="C4" s="520"/>
      <c r="D4" s="354" t="s">
        <v>298</v>
      </c>
      <c r="E4" s="354" t="s">
        <v>299</v>
      </c>
      <c r="F4" s="354">
        <v>2010</v>
      </c>
      <c r="G4" s="354">
        <v>2011</v>
      </c>
      <c r="H4" s="354">
        <v>2012</v>
      </c>
    </row>
    <row r="5" spans="1:8" s="355" customFormat="1" x14ac:dyDescent="0.2">
      <c r="A5" s="356"/>
      <c r="B5" s="356"/>
      <c r="C5" s="357" t="s">
        <v>300</v>
      </c>
      <c r="D5" s="358"/>
      <c r="E5" s="358"/>
      <c r="F5" s="358"/>
      <c r="G5" s="358"/>
      <c r="H5" s="358"/>
    </row>
    <row r="6" spans="1:8" s="355" customFormat="1" x14ac:dyDescent="0.2">
      <c r="A6" s="356"/>
      <c r="B6" s="356"/>
      <c r="C6" s="357" t="s">
        <v>301</v>
      </c>
      <c r="D6" s="358"/>
      <c r="E6" s="358"/>
      <c r="F6" s="358"/>
      <c r="G6" s="358"/>
      <c r="H6" s="358"/>
    </row>
    <row r="7" spans="1:8" x14ac:dyDescent="0.2">
      <c r="A7" s="359" t="s">
        <v>302</v>
      </c>
      <c r="B7" s="359"/>
      <c r="C7" s="359" t="s">
        <v>303</v>
      </c>
      <c r="D7" s="360">
        <v>165252</v>
      </c>
      <c r="E7" s="360">
        <v>165252</v>
      </c>
      <c r="F7" s="360">
        <v>165578</v>
      </c>
      <c r="G7" s="360">
        <v>166481</v>
      </c>
      <c r="H7" s="360">
        <v>166963</v>
      </c>
    </row>
    <row r="8" spans="1:8" x14ac:dyDescent="0.2">
      <c r="A8" s="359" t="s">
        <v>304</v>
      </c>
      <c r="B8" s="359"/>
      <c r="C8" s="359" t="s">
        <v>305</v>
      </c>
      <c r="D8" s="360">
        <v>703200</v>
      </c>
      <c r="E8" s="360">
        <v>703205</v>
      </c>
      <c r="F8" s="360">
        <v>703055</v>
      </c>
      <c r="G8" s="360">
        <v>702854</v>
      </c>
      <c r="H8" s="360">
        <v>702262</v>
      </c>
    </row>
    <row r="9" spans="1:8" x14ac:dyDescent="0.2">
      <c r="A9" s="359" t="s">
        <v>306</v>
      </c>
      <c r="B9" s="359"/>
      <c r="C9" s="359" t="s">
        <v>307</v>
      </c>
      <c r="D9" s="360">
        <v>157308</v>
      </c>
      <c r="E9" s="360">
        <v>157308</v>
      </c>
      <c r="F9" s="360">
        <v>157580</v>
      </c>
      <c r="G9" s="360">
        <v>157668</v>
      </c>
      <c r="H9" s="360">
        <v>157399</v>
      </c>
    </row>
    <row r="10" spans="1:8" x14ac:dyDescent="0.2">
      <c r="A10" s="359" t="s">
        <v>308</v>
      </c>
      <c r="B10" s="359"/>
      <c r="C10" s="359" t="s">
        <v>309</v>
      </c>
      <c r="D10" s="360">
        <v>116672</v>
      </c>
      <c r="E10" s="360">
        <v>116672</v>
      </c>
      <c r="F10" s="360">
        <v>116894</v>
      </c>
      <c r="G10" s="360">
        <v>118135</v>
      </c>
      <c r="H10" s="360">
        <v>118360</v>
      </c>
    </row>
    <row r="11" spans="1:8" x14ac:dyDescent="0.2">
      <c r="A11" s="359" t="s">
        <v>310</v>
      </c>
      <c r="B11" s="359"/>
      <c r="C11" s="359" t="s">
        <v>311</v>
      </c>
      <c r="D11" s="360">
        <v>870716</v>
      </c>
      <c r="E11" s="360">
        <v>870718</v>
      </c>
      <c r="F11" s="360">
        <v>871081</v>
      </c>
      <c r="G11" s="360">
        <v>873076</v>
      </c>
      <c r="H11" s="360">
        <v>874646</v>
      </c>
    </row>
    <row r="12" spans="1:8" x14ac:dyDescent="0.2">
      <c r="A12" s="359" t="s">
        <v>312</v>
      </c>
      <c r="B12" s="359"/>
      <c r="C12" s="359" t="s">
        <v>313</v>
      </c>
      <c r="D12" s="360">
        <v>887077</v>
      </c>
      <c r="E12" s="360">
        <v>887079</v>
      </c>
      <c r="F12" s="360">
        <v>889568</v>
      </c>
      <c r="G12" s="360">
        <v>897320</v>
      </c>
      <c r="H12" s="360">
        <v>901700</v>
      </c>
    </row>
    <row r="13" spans="1:8" x14ac:dyDescent="0.2">
      <c r="A13" s="359" t="s">
        <v>314</v>
      </c>
      <c r="B13" s="359"/>
      <c r="C13" s="359" t="s">
        <v>315</v>
      </c>
      <c r="D13" s="360">
        <v>153922</v>
      </c>
      <c r="E13" s="360">
        <v>153922</v>
      </c>
      <c r="F13" s="360">
        <v>154093</v>
      </c>
      <c r="G13" s="360">
        <v>154379</v>
      </c>
      <c r="H13" s="360">
        <v>154441</v>
      </c>
    </row>
    <row r="14" spans="1:8" x14ac:dyDescent="0.2">
      <c r="A14" s="359" t="s">
        <v>316</v>
      </c>
      <c r="B14" s="359"/>
      <c r="C14" s="359" t="s">
        <v>317</v>
      </c>
      <c r="D14" s="360">
        <v>821173</v>
      </c>
      <c r="E14" s="360">
        <v>821173</v>
      </c>
      <c r="F14" s="360">
        <v>822055</v>
      </c>
      <c r="G14" s="360">
        <v>825312</v>
      </c>
      <c r="H14" s="360">
        <v>827171</v>
      </c>
    </row>
    <row r="15" spans="1:8" x14ac:dyDescent="0.2">
      <c r="A15" s="359" t="s">
        <v>318</v>
      </c>
      <c r="B15" s="359"/>
      <c r="C15" s="359" t="s">
        <v>319</v>
      </c>
      <c r="D15" s="360">
        <v>127089</v>
      </c>
      <c r="E15" s="360">
        <v>127074</v>
      </c>
      <c r="F15" s="360">
        <v>127038</v>
      </c>
      <c r="G15" s="360">
        <v>127234</v>
      </c>
      <c r="H15" s="360">
        <v>127121</v>
      </c>
    </row>
    <row r="16" spans="1:8" x14ac:dyDescent="0.2">
      <c r="A16" s="359" t="s">
        <v>320</v>
      </c>
      <c r="B16" s="359"/>
      <c r="C16" s="359" t="s">
        <v>321</v>
      </c>
      <c r="D16" s="360">
        <v>251933</v>
      </c>
      <c r="E16" s="360">
        <v>251933</v>
      </c>
      <c r="F16" s="360">
        <v>252686</v>
      </c>
      <c r="G16" s="360">
        <v>255781</v>
      </c>
      <c r="H16" s="360">
        <v>257578</v>
      </c>
    </row>
    <row r="17" spans="1:8" x14ac:dyDescent="0.2">
      <c r="A17" s="359" t="s">
        <v>322</v>
      </c>
      <c r="B17" s="359"/>
      <c r="C17" s="359" t="s">
        <v>323</v>
      </c>
      <c r="D17" s="360">
        <v>89542</v>
      </c>
      <c r="E17" s="360">
        <v>89542</v>
      </c>
      <c r="F17" s="360">
        <v>89600</v>
      </c>
      <c r="G17" s="360">
        <v>90816</v>
      </c>
      <c r="H17" s="360">
        <v>91140</v>
      </c>
    </row>
    <row r="18" spans="1:8" x14ac:dyDescent="0.2">
      <c r="A18" s="359" t="s">
        <v>324</v>
      </c>
      <c r="B18" s="359"/>
      <c r="C18" s="359" t="s">
        <v>325</v>
      </c>
      <c r="D18" s="360">
        <v>380821</v>
      </c>
      <c r="E18" s="360">
        <v>380821</v>
      </c>
      <c r="F18" s="360">
        <v>383177</v>
      </c>
      <c r="G18" s="360">
        <v>388038</v>
      </c>
      <c r="H18" s="360">
        <v>392535</v>
      </c>
    </row>
    <row r="19" spans="1:8" x14ac:dyDescent="0.2">
      <c r="A19" s="359" t="s">
        <v>326</v>
      </c>
      <c r="B19" s="359"/>
      <c r="C19" s="359" t="s">
        <v>327</v>
      </c>
      <c r="D19" s="360">
        <v>344791</v>
      </c>
      <c r="E19" s="360">
        <v>344791</v>
      </c>
      <c r="F19" s="360">
        <v>345350</v>
      </c>
      <c r="G19" s="360">
        <v>348637</v>
      </c>
      <c r="H19" s="360">
        <v>350946</v>
      </c>
    </row>
    <row r="20" spans="1:8" x14ac:dyDescent="0.2">
      <c r="A20" s="359" t="s">
        <v>328</v>
      </c>
      <c r="B20" s="359"/>
      <c r="C20" s="359" t="s">
        <v>329</v>
      </c>
      <c r="D20" s="360">
        <v>118572</v>
      </c>
      <c r="E20" s="360">
        <v>118572</v>
      </c>
      <c r="F20" s="360">
        <v>118423</v>
      </c>
      <c r="G20" s="360">
        <v>117815</v>
      </c>
      <c r="H20" s="360">
        <v>117296</v>
      </c>
    </row>
    <row r="21" spans="1:8" x14ac:dyDescent="0.2">
      <c r="A21" s="359" t="s">
        <v>330</v>
      </c>
      <c r="B21" s="359"/>
      <c r="C21" s="359" t="s">
        <v>331</v>
      </c>
      <c r="D21" s="360">
        <v>225666</v>
      </c>
      <c r="E21" s="360">
        <v>225666</v>
      </c>
      <c r="F21" s="360">
        <v>225886</v>
      </c>
      <c r="G21" s="360">
        <v>227318</v>
      </c>
      <c r="H21" s="360">
        <v>228450</v>
      </c>
    </row>
    <row r="22" spans="1:8" x14ac:dyDescent="0.2">
      <c r="A22" s="359" t="s">
        <v>332</v>
      </c>
      <c r="B22" s="359"/>
      <c r="C22" s="359" t="s">
        <v>333</v>
      </c>
      <c r="D22" s="360">
        <v>424858</v>
      </c>
      <c r="E22" s="360">
        <v>424859</v>
      </c>
      <c r="F22" s="360">
        <v>425558</v>
      </c>
      <c r="G22" s="360">
        <v>428657</v>
      </c>
      <c r="H22" s="360">
        <v>432406</v>
      </c>
    </row>
    <row r="23" spans="1:8" x14ac:dyDescent="0.2">
      <c r="A23" s="359" t="s">
        <v>334</v>
      </c>
      <c r="B23" s="359"/>
      <c r="C23" s="359" t="s">
        <v>335</v>
      </c>
      <c r="D23" s="360">
        <v>192541</v>
      </c>
      <c r="E23" s="360">
        <v>192541</v>
      </c>
      <c r="F23" s="360">
        <v>193538</v>
      </c>
      <c r="G23" s="360">
        <v>194616</v>
      </c>
      <c r="H23" s="360">
        <v>196425</v>
      </c>
    </row>
    <row r="24" spans="1:8" x14ac:dyDescent="0.2">
      <c r="A24" s="359" t="s">
        <v>336</v>
      </c>
      <c r="B24" s="359"/>
      <c r="C24" s="359" t="s">
        <v>337</v>
      </c>
      <c r="D24" s="360">
        <v>5286728</v>
      </c>
      <c r="E24" s="360">
        <v>5286732</v>
      </c>
      <c r="F24" s="360">
        <v>5304665</v>
      </c>
      <c r="G24" s="360">
        <v>5374678</v>
      </c>
      <c r="H24" s="360">
        <v>5457831</v>
      </c>
    </row>
    <row r="25" spans="1:8" x14ac:dyDescent="0.2">
      <c r="A25" s="359" t="s">
        <v>338</v>
      </c>
      <c r="B25" s="359"/>
      <c r="C25" s="359" t="s">
        <v>339</v>
      </c>
      <c r="D25" s="360">
        <v>274549</v>
      </c>
      <c r="E25" s="360">
        <v>274549</v>
      </c>
      <c r="F25" s="360">
        <v>274715</v>
      </c>
      <c r="G25" s="360">
        <v>274810</v>
      </c>
      <c r="H25" s="360">
        <v>275422</v>
      </c>
    </row>
    <row r="26" spans="1:8" x14ac:dyDescent="0.2">
      <c r="A26" s="359" t="s">
        <v>340</v>
      </c>
      <c r="B26" s="359"/>
      <c r="C26" s="359" t="s">
        <v>341</v>
      </c>
      <c r="D26" s="360">
        <v>140247</v>
      </c>
      <c r="E26" s="360">
        <v>140251</v>
      </c>
      <c r="F26" s="360">
        <v>140761</v>
      </c>
      <c r="G26" s="360">
        <v>143580</v>
      </c>
      <c r="H26" s="360">
        <v>147257</v>
      </c>
    </row>
    <row r="27" spans="1:8" x14ac:dyDescent="0.2">
      <c r="A27" s="359" t="s">
        <v>342</v>
      </c>
      <c r="B27" s="359"/>
      <c r="C27" s="359" t="s">
        <v>343</v>
      </c>
      <c r="D27" s="360">
        <v>564873</v>
      </c>
      <c r="E27" s="360">
        <v>564871</v>
      </c>
      <c r="F27" s="360">
        <v>566781</v>
      </c>
      <c r="G27" s="360">
        <v>571098</v>
      </c>
      <c r="H27" s="360">
        <v>575898</v>
      </c>
    </row>
    <row r="28" spans="1:8" x14ac:dyDescent="0.2">
      <c r="A28" s="359" t="s">
        <v>344</v>
      </c>
      <c r="B28" s="359"/>
      <c r="C28" s="359" t="s">
        <v>345</v>
      </c>
      <c r="D28" s="360">
        <v>1716289</v>
      </c>
      <c r="E28" s="360">
        <v>1716286</v>
      </c>
      <c r="F28" s="360">
        <v>1727661</v>
      </c>
      <c r="G28" s="360">
        <v>1780708</v>
      </c>
      <c r="H28" s="360">
        <v>1834303</v>
      </c>
    </row>
    <row r="29" spans="1:8" x14ac:dyDescent="0.2">
      <c r="A29" s="359" t="s">
        <v>346</v>
      </c>
      <c r="B29" s="359"/>
      <c r="C29" s="359" t="s">
        <v>347</v>
      </c>
      <c r="D29" s="360">
        <v>839631</v>
      </c>
      <c r="E29" s="360">
        <v>839631</v>
      </c>
      <c r="F29" s="360">
        <v>841687</v>
      </c>
      <c r="G29" s="360">
        <v>849457</v>
      </c>
      <c r="H29" s="360">
        <v>856158</v>
      </c>
    </row>
    <row r="30" spans="1:8" x14ac:dyDescent="0.2">
      <c r="A30" s="359" t="s">
        <v>348</v>
      </c>
      <c r="B30" s="359"/>
      <c r="C30" s="359" t="s">
        <v>349</v>
      </c>
      <c r="D30" s="360">
        <v>2710489</v>
      </c>
      <c r="E30" s="360">
        <v>2710489</v>
      </c>
      <c r="F30" s="360">
        <v>2715586</v>
      </c>
      <c r="G30" s="360">
        <v>2733678</v>
      </c>
      <c r="H30" s="360">
        <v>2753149</v>
      </c>
    </row>
    <row r="31" spans="1:8" x14ac:dyDescent="0.2">
      <c r="A31" s="359" t="s">
        <v>350</v>
      </c>
      <c r="B31" s="359"/>
      <c r="C31" s="359" t="s">
        <v>351</v>
      </c>
      <c r="D31" s="360">
        <v>153923</v>
      </c>
      <c r="E31" s="360">
        <v>153921</v>
      </c>
      <c r="F31" s="360">
        <v>153892</v>
      </c>
      <c r="G31" s="360">
        <v>153930</v>
      </c>
      <c r="H31" s="360">
        <v>153746</v>
      </c>
    </row>
    <row r="32" spans="1:8" x14ac:dyDescent="0.2">
      <c r="A32" s="359" t="s">
        <v>352</v>
      </c>
      <c r="B32" s="359"/>
      <c r="C32" s="359" t="s">
        <v>353</v>
      </c>
      <c r="D32" s="360">
        <v>215888</v>
      </c>
      <c r="E32" s="360">
        <v>215888</v>
      </c>
      <c r="F32" s="360">
        <v>215959</v>
      </c>
      <c r="G32" s="360">
        <v>215662</v>
      </c>
      <c r="H32" s="360">
        <v>215423</v>
      </c>
    </row>
    <row r="33" spans="1:8" x14ac:dyDescent="0.2">
      <c r="A33" s="359" t="s">
        <v>354</v>
      </c>
      <c r="B33" s="359"/>
      <c r="C33" s="359" t="s">
        <v>355</v>
      </c>
      <c r="D33" s="360">
        <v>802484</v>
      </c>
      <c r="E33" s="360">
        <v>802480</v>
      </c>
      <c r="F33" s="360">
        <v>804270</v>
      </c>
      <c r="G33" s="360">
        <v>808713</v>
      </c>
      <c r="H33" s="360">
        <v>815298</v>
      </c>
    </row>
    <row r="34" spans="1:8" x14ac:dyDescent="0.2">
      <c r="A34" s="359" t="s">
        <v>356</v>
      </c>
      <c r="B34" s="359"/>
      <c r="C34" s="359" t="s">
        <v>357</v>
      </c>
      <c r="D34" s="360">
        <v>136146</v>
      </c>
      <c r="E34" s="360">
        <v>136146</v>
      </c>
      <c r="F34" s="360">
        <v>136075</v>
      </c>
      <c r="G34" s="360">
        <v>135529</v>
      </c>
      <c r="H34" s="360">
        <v>135099</v>
      </c>
    </row>
    <row r="35" spans="1:8" x14ac:dyDescent="0.2">
      <c r="A35" s="359" t="s">
        <v>358</v>
      </c>
      <c r="B35" s="359"/>
      <c r="C35" s="359" t="s">
        <v>359</v>
      </c>
      <c r="D35" s="360">
        <v>107771</v>
      </c>
      <c r="E35" s="360">
        <v>107771</v>
      </c>
      <c r="F35" s="360">
        <v>107723</v>
      </c>
      <c r="G35" s="360">
        <v>107273</v>
      </c>
      <c r="H35" s="360">
        <v>106935</v>
      </c>
    </row>
    <row r="36" spans="1:8" x14ac:dyDescent="0.2">
      <c r="A36" s="359" t="s">
        <v>360</v>
      </c>
      <c r="B36" s="359"/>
      <c r="C36" s="359" t="s">
        <v>361</v>
      </c>
      <c r="D36" s="360">
        <v>403190</v>
      </c>
      <c r="E36" s="360">
        <v>403190</v>
      </c>
      <c r="F36" s="360">
        <v>403562</v>
      </c>
      <c r="G36" s="360">
        <v>405031</v>
      </c>
      <c r="H36" s="360">
        <v>404180</v>
      </c>
    </row>
    <row r="37" spans="1:8" x14ac:dyDescent="0.2">
      <c r="A37" s="359" t="s">
        <v>362</v>
      </c>
      <c r="B37" s="359"/>
      <c r="C37" s="359" t="s">
        <v>363</v>
      </c>
      <c r="D37" s="360">
        <v>124898</v>
      </c>
      <c r="E37" s="360">
        <v>124901</v>
      </c>
      <c r="F37" s="360">
        <v>124892</v>
      </c>
      <c r="G37" s="360">
        <v>125115</v>
      </c>
      <c r="H37" s="360">
        <v>124890</v>
      </c>
    </row>
    <row r="38" spans="1:8" x14ac:dyDescent="0.2">
      <c r="A38" s="359" t="s">
        <v>364</v>
      </c>
      <c r="B38" s="359"/>
      <c r="C38" s="359" t="s">
        <v>365</v>
      </c>
      <c r="D38" s="360">
        <v>201140</v>
      </c>
      <c r="E38" s="360">
        <v>201140</v>
      </c>
      <c r="F38" s="360">
        <v>201614</v>
      </c>
      <c r="G38" s="360">
        <v>203570</v>
      </c>
      <c r="H38" s="360">
        <v>205262</v>
      </c>
    </row>
    <row r="39" spans="1:8" x14ac:dyDescent="0.2">
      <c r="A39" s="359" t="s">
        <v>366</v>
      </c>
      <c r="B39" s="359"/>
      <c r="C39" s="359" t="s">
        <v>367</v>
      </c>
      <c r="D39" s="360">
        <v>157733</v>
      </c>
      <c r="E39" s="360">
        <v>157733</v>
      </c>
      <c r="F39" s="360">
        <v>157895</v>
      </c>
      <c r="G39" s="360">
        <v>160083</v>
      </c>
      <c r="H39" s="360">
        <v>162277</v>
      </c>
    </row>
    <row r="40" spans="1:8" x14ac:dyDescent="0.2">
      <c r="A40" s="359" t="s">
        <v>368</v>
      </c>
      <c r="B40" s="359"/>
      <c r="C40" s="359" t="s">
        <v>369</v>
      </c>
      <c r="D40" s="360">
        <v>158934</v>
      </c>
      <c r="E40" s="360">
        <v>158934</v>
      </c>
      <c r="F40" s="360">
        <v>159395</v>
      </c>
      <c r="G40" s="360">
        <v>160852</v>
      </c>
      <c r="H40" s="360">
        <v>162848</v>
      </c>
    </row>
    <row r="41" spans="1:8" x14ac:dyDescent="0.2">
      <c r="A41" s="359" t="s">
        <v>370</v>
      </c>
      <c r="B41" s="359"/>
      <c r="C41" s="359" t="s">
        <v>371</v>
      </c>
      <c r="D41" s="360">
        <v>251725</v>
      </c>
      <c r="E41" s="360">
        <v>251725</v>
      </c>
      <c r="F41" s="360">
        <v>251443</v>
      </c>
      <c r="G41" s="360">
        <v>250293</v>
      </c>
      <c r="H41" s="360">
        <v>248538</v>
      </c>
    </row>
    <row r="42" spans="1:8" x14ac:dyDescent="0.2">
      <c r="A42" s="359" t="s">
        <v>372</v>
      </c>
      <c r="B42" s="359"/>
      <c r="C42" s="359" t="s">
        <v>373</v>
      </c>
      <c r="D42" s="360">
        <v>1128047</v>
      </c>
      <c r="E42" s="360">
        <v>1128050</v>
      </c>
      <c r="F42" s="360">
        <v>1129038</v>
      </c>
      <c r="G42" s="360">
        <v>1132403</v>
      </c>
      <c r="H42" s="360">
        <v>1136650</v>
      </c>
    </row>
    <row r="43" spans="1:8" x14ac:dyDescent="0.2">
      <c r="A43" s="359" t="s">
        <v>374</v>
      </c>
      <c r="B43" s="359"/>
      <c r="C43" s="359" t="s">
        <v>375</v>
      </c>
      <c r="D43" s="360">
        <v>114778</v>
      </c>
      <c r="E43" s="360">
        <v>114778</v>
      </c>
      <c r="F43" s="360">
        <v>115294</v>
      </c>
      <c r="G43" s="360">
        <v>117284</v>
      </c>
      <c r="H43" s="360">
        <v>120060</v>
      </c>
    </row>
    <row r="44" spans="1:8" x14ac:dyDescent="0.2">
      <c r="A44" s="359" t="s">
        <v>376</v>
      </c>
      <c r="B44" s="359"/>
      <c r="C44" s="359" t="s">
        <v>377</v>
      </c>
      <c r="D44" s="360">
        <v>178237</v>
      </c>
      <c r="E44" s="360">
        <v>178237</v>
      </c>
      <c r="F44" s="360">
        <v>178434</v>
      </c>
      <c r="G44" s="360">
        <v>178628</v>
      </c>
      <c r="H44" s="360">
        <v>178933</v>
      </c>
    </row>
    <row r="45" spans="1:8" x14ac:dyDescent="0.2">
      <c r="A45" s="359" t="s">
        <v>378</v>
      </c>
      <c r="B45" s="359"/>
      <c r="C45" s="359" t="s">
        <v>379</v>
      </c>
      <c r="D45" s="360">
        <v>186133</v>
      </c>
      <c r="E45" s="360">
        <v>186133</v>
      </c>
      <c r="F45" s="360">
        <v>186447</v>
      </c>
      <c r="G45" s="360">
        <v>187267</v>
      </c>
      <c r="H45" s="360">
        <v>188715</v>
      </c>
    </row>
    <row r="46" spans="1:8" x14ac:dyDescent="0.2">
      <c r="A46" s="359" t="s">
        <v>380</v>
      </c>
      <c r="B46" s="359"/>
      <c r="C46" s="359" t="s">
        <v>381</v>
      </c>
      <c r="D46" s="360">
        <v>159549</v>
      </c>
      <c r="E46" s="360">
        <v>159549</v>
      </c>
      <c r="F46" s="360">
        <v>160138</v>
      </c>
      <c r="G46" s="360">
        <v>161610</v>
      </c>
      <c r="H46" s="360">
        <v>162399</v>
      </c>
    </row>
    <row r="47" spans="1:8" x14ac:dyDescent="0.2">
      <c r="A47" s="359" t="s">
        <v>382</v>
      </c>
      <c r="B47" s="359"/>
      <c r="C47" s="359" t="s">
        <v>383</v>
      </c>
      <c r="D47" s="360">
        <v>85562</v>
      </c>
      <c r="E47" s="360">
        <v>85563</v>
      </c>
      <c r="F47" s="360">
        <v>85612</v>
      </c>
      <c r="G47" s="360">
        <v>85161</v>
      </c>
      <c r="H47" s="360">
        <v>85243</v>
      </c>
    </row>
    <row r="48" spans="1:8" x14ac:dyDescent="0.2">
      <c r="A48" s="359" t="s">
        <v>384</v>
      </c>
      <c r="B48" s="359"/>
      <c r="C48" s="359" t="s">
        <v>385</v>
      </c>
      <c r="D48" s="360">
        <v>616561</v>
      </c>
      <c r="E48" s="360">
        <v>616561</v>
      </c>
      <c r="F48" s="360">
        <v>618002</v>
      </c>
      <c r="G48" s="360">
        <v>627636</v>
      </c>
      <c r="H48" s="360">
        <v>637896</v>
      </c>
    </row>
    <row r="49" spans="1:11" x14ac:dyDescent="0.2">
      <c r="A49" s="359" t="s">
        <v>386</v>
      </c>
      <c r="B49" s="359"/>
      <c r="C49" s="359" t="s">
        <v>387</v>
      </c>
      <c r="D49" s="360">
        <v>4552402</v>
      </c>
      <c r="E49" s="360">
        <v>4552402</v>
      </c>
      <c r="F49" s="360">
        <v>4563863</v>
      </c>
      <c r="G49" s="360">
        <v>4603344</v>
      </c>
      <c r="H49" s="360">
        <v>4640802</v>
      </c>
      <c r="I49" s="366">
        <f>G49/F49-1</f>
        <v>8.6507855297146552E-3</v>
      </c>
      <c r="J49" s="366">
        <f t="shared" ref="J49" si="0">H49/G49-1</f>
        <v>8.1371281398914252E-3</v>
      </c>
      <c r="K49" s="366"/>
    </row>
    <row r="50" spans="1:11" x14ac:dyDescent="0.2">
      <c r="A50" s="359" t="s">
        <v>386</v>
      </c>
      <c r="B50" s="359" t="s">
        <v>388</v>
      </c>
      <c r="C50" s="361" t="s">
        <v>389</v>
      </c>
      <c r="D50" s="360">
        <v>1887792</v>
      </c>
      <c r="E50" s="360">
        <v>1887792</v>
      </c>
      <c r="F50" s="360">
        <v>1893664</v>
      </c>
      <c r="G50" s="360">
        <v>1910714</v>
      </c>
      <c r="H50" s="360">
        <v>1926030</v>
      </c>
    </row>
    <row r="51" spans="1:11" x14ac:dyDescent="0.2">
      <c r="A51" s="359" t="s">
        <v>386</v>
      </c>
      <c r="B51" s="359" t="s">
        <v>390</v>
      </c>
      <c r="C51" s="361" t="s">
        <v>391</v>
      </c>
      <c r="D51" s="360">
        <v>2246244</v>
      </c>
      <c r="E51" s="360">
        <v>2246244</v>
      </c>
      <c r="F51" s="360">
        <v>2251629</v>
      </c>
      <c r="G51" s="360">
        <v>2272874</v>
      </c>
      <c r="H51" s="360">
        <v>2292833</v>
      </c>
    </row>
    <row r="52" spans="1:11" x14ac:dyDescent="0.2">
      <c r="A52" s="359" t="s">
        <v>386</v>
      </c>
      <c r="B52" s="359" t="s">
        <v>392</v>
      </c>
      <c r="C52" s="361" t="s">
        <v>393</v>
      </c>
      <c r="D52" s="360">
        <v>418366</v>
      </c>
      <c r="E52" s="360">
        <v>418366</v>
      </c>
      <c r="F52" s="360">
        <v>418570</v>
      </c>
      <c r="G52" s="360">
        <v>419756</v>
      </c>
      <c r="H52" s="360">
        <v>421939</v>
      </c>
    </row>
    <row r="53" spans="1:11" x14ac:dyDescent="0.2">
      <c r="A53" s="359" t="s">
        <v>394</v>
      </c>
      <c r="B53" s="359"/>
      <c r="C53" s="359" t="s">
        <v>395</v>
      </c>
      <c r="D53" s="360">
        <v>294567</v>
      </c>
      <c r="E53" s="360">
        <v>294571</v>
      </c>
      <c r="F53" s="360">
        <v>296318</v>
      </c>
      <c r="G53" s="360">
        <v>300406</v>
      </c>
      <c r="H53" s="360">
        <v>305318</v>
      </c>
    </row>
    <row r="54" spans="1:11" x14ac:dyDescent="0.2">
      <c r="A54" s="359" t="s">
        <v>396</v>
      </c>
      <c r="B54" s="359"/>
      <c r="C54" s="359" t="s">
        <v>397</v>
      </c>
      <c r="D54" s="360">
        <v>158599</v>
      </c>
      <c r="E54" s="360">
        <v>158599</v>
      </c>
      <c r="F54" s="360">
        <v>159043</v>
      </c>
      <c r="G54" s="360">
        <v>160650</v>
      </c>
      <c r="H54" s="360">
        <v>162231</v>
      </c>
    </row>
    <row r="55" spans="1:11" x14ac:dyDescent="0.2">
      <c r="A55" s="359" t="s">
        <v>398</v>
      </c>
      <c r="B55" s="359"/>
      <c r="C55" s="359" t="s">
        <v>399</v>
      </c>
      <c r="D55" s="360">
        <v>251133</v>
      </c>
      <c r="E55" s="360">
        <v>251133</v>
      </c>
      <c r="F55" s="360">
        <v>251769</v>
      </c>
      <c r="G55" s="360">
        <v>254529</v>
      </c>
      <c r="H55" s="360">
        <v>254991</v>
      </c>
    </row>
    <row r="56" spans="1:11" x14ac:dyDescent="0.2">
      <c r="A56" s="359" t="s">
        <v>400</v>
      </c>
      <c r="B56" s="359"/>
      <c r="C56" s="359" t="s">
        <v>401</v>
      </c>
      <c r="D56" s="360">
        <v>916829</v>
      </c>
      <c r="E56" s="360">
        <v>916829</v>
      </c>
      <c r="F56" s="360">
        <v>918814</v>
      </c>
      <c r="G56" s="360">
        <v>927567</v>
      </c>
      <c r="H56" s="360">
        <v>933835</v>
      </c>
    </row>
    <row r="57" spans="1:11" x14ac:dyDescent="0.2">
      <c r="A57" s="359" t="s">
        <v>402</v>
      </c>
      <c r="B57" s="359"/>
      <c r="C57" s="359" t="s">
        <v>403</v>
      </c>
      <c r="D57" s="360">
        <v>406220</v>
      </c>
      <c r="E57" s="360">
        <v>406220</v>
      </c>
      <c r="F57" s="360">
        <v>407656</v>
      </c>
      <c r="G57" s="360">
        <v>412577</v>
      </c>
      <c r="H57" s="360">
        <v>415557</v>
      </c>
    </row>
    <row r="58" spans="1:11" x14ac:dyDescent="0.2">
      <c r="A58" s="359" t="s">
        <v>404</v>
      </c>
      <c r="B58" s="359"/>
      <c r="C58" s="359" t="s">
        <v>405</v>
      </c>
      <c r="D58" s="360">
        <v>112370</v>
      </c>
      <c r="E58" s="360">
        <v>112368</v>
      </c>
      <c r="F58" s="360">
        <v>112637</v>
      </c>
      <c r="G58" s="360">
        <v>113122</v>
      </c>
      <c r="H58" s="360">
        <v>113448</v>
      </c>
    </row>
    <row r="59" spans="1:11" x14ac:dyDescent="0.2">
      <c r="A59" s="359" t="s">
        <v>406</v>
      </c>
      <c r="B59" s="359"/>
      <c r="C59" s="359" t="s">
        <v>407</v>
      </c>
      <c r="D59" s="360">
        <v>1135509</v>
      </c>
      <c r="E59" s="360">
        <v>1135511</v>
      </c>
      <c r="F59" s="360">
        <v>1135610</v>
      </c>
      <c r="G59" s="360">
        <v>1135494</v>
      </c>
      <c r="H59" s="360">
        <v>1134210</v>
      </c>
    </row>
    <row r="60" spans="1:11" x14ac:dyDescent="0.2">
      <c r="A60" s="359" t="s">
        <v>408</v>
      </c>
      <c r="B60" s="359"/>
      <c r="C60" s="359" t="s">
        <v>409</v>
      </c>
      <c r="D60" s="360">
        <v>151131</v>
      </c>
      <c r="E60" s="360">
        <v>151087</v>
      </c>
      <c r="F60" s="360">
        <v>151470</v>
      </c>
      <c r="G60" s="360">
        <v>152801</v>
      </c>
      <c r="H60" s="360">
        <v>153920</v>
      </c>
    </row>
    <row r="61" spans="1:11" x14ac:dyDescent="0.2">
      <c r="A61" s="359" t="s">
        <v>410</v>
      </c>
      <c r="B61" s="359"/>
      <c r="C61" s="359" t="s">
        <v>411</v>
      </c>
      <c r="D61" s="360">
        <v>211261</v>
      </c>
      <c r="E61" s="360">
        <v>211262</v>
      </c>
      <c r="F61" s="360">
        <v>211558</v>
      </c>
      <c r="G61" s="360">
        <v>212875</v>
      </c>
      <c r="H61" s="360">
        <v>213701</v>
      </c>
    </row>
    <row r="62" spans="1:11" x14ac:dyDescent="0.2">
      <c r="A62" s="359" t="s">
        <v>412</v>
      </c>
      <c r="B62" s="359"/>
      <c r="C62" s="359" t="s">
        <v>413</v>
      </c>
      <c r="D62" s="360">
        <v>105151</v>
      </c>
      <c r="E62" s="360">
        <v>105151</v>
      </c>
      <c r="F62" s="360">
        <v>105778</v>
      </c>
      <c r="G62" s="360">
        <v>107681</v>
      </c>
      <c r="H62" s="360">
        <v>108987</v>
      </c>
    </row>
    <row r="63" spans="1:11" x14ac:dyDescent="0.2">
      <c r="A63" s="359" t="s">
        <v>414</v>
      </c>
      <c r="B63" s="359"/>
      <c r="C63" s="359" t="s">
        <v>415</v>
      </c>
      <c r="D63" s="360">
        <v>404422</v>
      </c>
      <c r="E63" s="360">
        <v>404422</v>
      </c>
      <c r="F63" s="360">
        <v>404217</v>
      </c>
      <c r="G63" s="360">
        <v>403164</v>
      </c>
      <c r="H63" s="360">
        <v>403455</v>
      </c>
    </row>
    <row r="64" spans="1:11" x14ac:dyDescent="0.2">
      <c r="A64" s="359" t="s">
        <v>416</v>
      </c>
      <c r="B64" s="359"/>
      <c r="C64" s="359" t="s">
        <v>417</v>
      </c>
      <c r="D64" s="360">
        <v>618754</v>
      </c>
      <c r="E64" s="360">
        <v>618754</v>
      </c>
      <c r="F64" s="360">
        <v>620601</v>
      </c>
      <c r="G64" s="360">
        <v>631602</v>
      </c>
      <c r="H64" s="360">
        <v>645293</v>
      </c>
    </row>
    <row r="65" spans="1:8" x14ac:dyDescent="0.2">
      <c r="A65" s="359" t="s">
        <v>418</v>
      </c>
      <c r="B65" s="359"/>
      <c r="C65" s="359" t="s">
        <v>419</v>
      </c>
      <c r="D65" s="360">
        <v>96275</v>
      </c>
      <c r="E65" s="360">
        <v>96275</v>
      </c>
      <c r="F65" s="360">
        <v>96403</v>
      </c>
      <c r="G65" s="360">
        <v>96980</v>
      </c>
      <c r="H65" s="360">
        <v>97080</v>
      </c>
    </row>
    <row r="66" spans="1:8" x14ac:dyDescent="0.2">
      <c r="A66" s="359" t="s">
        <v>420</v>
      </c>
      <c r="B66" s="359"/>
      <c r="C66" s="359" t="s">
        <v>421</v>
      </c>
      <c r="D66" s="360">
        <v>126575</v>
      </c>
      <c r="E66" s="360">
        <v>126580</v>
      </c>
      <c r="F66" s="360">
        <v>126772</v>
      </c>
      <c r="G66" s="360">
        <v>126944</v>
      </c>
      <c r="H66" s="360">
        <v>126745</v>
      </c>
    </row>
    <row r="67" spans="1:8" x14ac:dyDescent="0.2">
      <c r="A67" s="359" t="s">
        <v>422</v>
      </c>
      <c r="B67" s="359"/>
      <c r="C67" s="359" t="s">
        <v>423</v>
      </c>
      <c r="D67" s="360">
        <v>55274</v>
      </c>
      <c r="E67" s="360">
        <v>55274</v>
      </c>
      <c r="F67" s="360">
        <v>55278</v>
      </c>
      <c r="G67" s="360">
        <v>54851</v>
      </c>
      <c r="H67" s="360">
        <v>54838</v>
      </c>
    </row>
    <row r="68" spans="1:8" x14ac:dyDescent="0.2">
      <c r="A68" s="359" t="s">
        <v>424</v>
      </c>
      <c r="B68" s="359"/>
      <c r="C68" s="359" t="s">
        <v>425</v>
      </c>
      <c r="D68" s="360">
        <v>75450</v>
      </c>
      <c r="E68" s="360">
        <v>75450</v>
      </c>
      <c r="F68" s="360">
        <v>75485</v>
      </c>
      <c r="G68" s="360">
        <v>76356</v>
      </c>
      <c r="H68" s="360">
        <v>78621</v>
      </c>
    </row>
    <row r="69" spans="1:8" x14ac:dyDescent="0.2">
      <c r="A69" s="359" t="s">
        <v>426</v>
      </c>
      <c r="B69" s="359"/>
      <c r="C69" s="359" t="s">
        <v>427</v>
      </c>
      <c r="D69" s="360">
        <v>257940</v>
      </c>
      <c r="E69" s="360">
        <v>257940</v>
      </c>
      <c r="F69" s="360">
        <v>258364</v>
      </c>
      <c r="G69" s="360">
        <v>260893</v>
      </c>
      <c r="H69" s="360">
        <v>261761</v>
      </c>
    </row>
    <row r="70" spans="1:8" x14ac:dyDescent="0.2">
      <c r="A70" s="359" t="s">
        <v>428</v>
      </c>
      <c r="B70" s="359"/>
      <c r="C70" s="359" t="s">
        <v>429</v>
      </c>
      <c r="D70" s="360">
        <v>149618</v>
      </c>
      <c r="E70" s="360">
        <v>149618</v>
      </c>
      <c r="F70" s="360">
        <v>149908</v>
      </c>
      <c r="G70" s="360">
        <v>150891</v>
      </c>
      <c r="H70" s="360">
        <v>151275</v>
      </c>
    </row>
    <row r="71" spans="1:8" x14ac:dyDescent="0.2">
      <c r="A71" s="359" t="s">
        <v>430</v>
      </c>
      <c r="B71" s="359"/>
      <c r="C71" s="359" t="s">
        <v>431</v>
      </c>
      <c r="D71" s="360">
        <v>231891</v>
      </c>
      <c r="E71" s="360">
        <v>231891</v>
      </c>
      <c r="F71" s="360">
        <v>232230</v>
      </c>
      <c r="G71" s="360">
        <v>233055</v>
      </c>
      <c r="H71" s="360">
        <v>233788</v>
      </c>
    </row>
    <row r="72" spans="1:8" x14ac:dyDescent="0.2">
      <c r="A72" s="359" t="s">
        <v>432</v>
      </c>
      <c r="B72" s="359"/>
      <c r="C72" s="359" t="s">
        <v>433</v>
      </c>
      <c r="D72" s="360">
        <v>227078</v>
      </c>
      <c r="E72" s="360">
        <v>227071</v>
      </c>
      <c r="F72" s="360">
        <v>226947</v>
      </c>
      <c r="G72" s="360">
        <v>225977</v>
      </c>
      <c r="H72" s="360">
        <v>225954</v>
      </c>
    </row>
    <row r="73" spans="1:8" x14ac:dyDescent="0.2">
      <c r="A73" s="359" t="s">
        <v>434</v>
      </c>
      <c r="B73" s="359"/>
      <c r="C73" s="359" t="s">
        <v>435</v>
      </c>
      <c r="D73" s="360">
        <v>664607</v>
      </c>
      <c r="E73" s="360">
        <v>664608</v>
      </c>
      <c r="F73" s="360">
        <v>667606</v>
      </c>
      <c r="G73" s="360">
        <v>681684</v>
      </c>
      <c r="H73" s="360">
        <v>697439</v>
      </c>
    </row>
    <row r="74" spans="1:8" x14ac:dyDescent="0.2">
      <c r="A74" s="359" t="s">
        <v>436</v>
      </c>
      <c r="B74" s="359"/>
      <c r="C74" s="359" t="s">
        <v>437</v>
      </c>
      <c r="D74" s="360">
        <v>2217012</v>
      </c>
      <c r="E74" s="360">
        <v>2217035</v>
      </c>
      <c r="F74" s="360">
        <v>2223685</v>
      </c>
      <c r="G74" s="360">
        <v>2257134</v>
      </c>
      <c r="H74" s="360">
        <v>2296569</v>
      </c>
    </row>
    <row r="75" spans="1:8" x14ac:dyDescent="0.2">
      <c r="A75" s="359" t="s">
        <v>438</v>
      </c>
      <c r="B75" s="359"/>
      <c r="C75" s="359" t="s">
        <v>439</v>
      </c>
      <c r="D75" s="360">
        <v>218705</v>
      </c>
      <c r="E75" s="360">
        <v>218705</v>
      </c>
      <c r="F75" s="360">
        <v>219094</v>
      </c>
      <c r="G75" s="360">
        <v>221101</v>
      </c>
      <c r="H75" s="360">
        <v>222860</v>
      </c>
    </row>
    <row r="76" spans="1:8" x14ac:dyDescent="0.2">
      <c r="A76" s="359" t="s">
        <v>440</v>
      </c>
      <c r="B76" s="359"/>
      <c r="C76" s="359" t="s">
        <v>441</v>
      </c>
      <c r="D76" s="360">
        <v>528143</v>
      </c>
      <c r="E76" s="360">
        <v>528145</v>
      </c>
      <c r="F76" s="360">
        <v>529239</v>
      </c>
      <c r="G76" s="360">
        <v>533343</v>
      </c>
      <c r="H76" s="360">
        <v>537889</v>
      </c>
    </row>
    <row r="77" spans="1:8" x14ac:dyDescent="0.2">
      <c r="A77" s="359" t="s">
        <v>442</v>
      </c>
      <c r="B77" s="359"/>
      <c r="C77" s="359" t="s">
        <v>443</v>
      </c>
      <c r="D77" s="360">
        <v>91738</v>
      </c>
      <c r="E77" s="360">
        <v>91738</v>
      </c>
      <c r="F77" s="360">
        <v>92120</v>
      </c>
      <c r="G77" s="360">
        <v>92487</v>
      </c>
      <c r="H77" s="360">
        <v>94483</v>
      </c>
    </row>
    <row r="78" spans="1:8" x14ac:dyDescent="0.2">
      <c r="A78" s="359" t="s">
        <v>444</v>
      </c>
      <c r="B78" s="359"/>
      <c r="C78" s="359" t="s">
        <v>445</v>
      </c>
      <c r="D78" s="360">
        <v>9461105</v>
      </c>
      <c r="E78" s="360">
        <v>9461105</v>
      </c>
      <c r="F78" s="360">
        <v>9471608</v>
      </c>
      <c r="G78" s="360">
        <v>9495719</v>
      </c>
      <c r="H78" s="360">
        <v>9522434</v>
      </c>
    </row>
    <row r="79" spans="1:8" x14ac:dyDescent="0.2">
      <c r="A79" s="359" t="s">
        <v>444</v>
      </c>
      <c r="B79" s="359" t="s">
        <v>446</v>
      </c>
      <c r="C79" s="361" t="s">
        <v>447</v>
      </c>
      <c r="D79" s="360">
        <v>7262718</v>
      </c>
      <c r="E79" s="360">
        <v>7262820</v>
      </c>
      <c r="F79" s="360">
        <v>7271029</v>
      </c>
      <c r="G79" s="360">
        <v>7293968</v>
      </c>
      <c r="H79" s="360">
        <v>7318387</v>
      </c>
    </row>
    <row r="80" spans="1:8" x14ac:dyDescent="0.2">
      <c r="A80" s="359" t="s">
        <v>444</v>
      </c>
      <c r="B80" s="359" t="s">
        <v>448</v>
      </c>
      <c r="C80" s="361" t="s">
        <v>449</v>
      </c>
      <c r="D80" s="360">
        <v>620429</v>
      </c>
      <c r="E80" s="360">
        <v>620429</v>
      </c>
      <c r="F80" s="360">
        <v>621171</v>
      </c>
      <c r="G80" s="360">
        <v>624737</v>
      </c>
      <c r="H80" s="360">
        <v>627191</v>
      </c>
    </row>
    <row r="81" spans="1:8" x14ac:dyDescent="0.2">
      <c r="A81" s="359" t="s">
        <v>444</v>
      </c>
      <c r="B81" s="359" t="s">
        <v>450</v>
      </c>
      <c r="C81" s="361" t="s">
        <v>451</v>
      </c>
      <c r="D81" s="360">
        <v>708070</v>
      </c>
      <c r="E81" s="360">
        <v>708070</v>
      </c>
      <c r="F81" s="360">
        <v>708473</v>
      </c>
      <c r="G81" s="360">
        <v>708282</v>
      </c>
      <c r="H81" s="360">
        <v>706800</v>
      </c>
    </row>
    <row r="82" spans="1:8" x14ac:dyDescent="0.2">
      <c r="A82" s="359" t="s">
        <v>444</v>
      </c>
      <c r="B82" s="359" t="s">
        <v>452</v>
      </c>
      <c r="C82" s="361" t="s">
        <v>453</v>
      </c>
      <c r="D82" s="360">
        <v>869888</v>
      </c>
      <c r="E82" s="360">
        <v>869786</v>
      </c>
      <c r="F82" s="360">
        <v>870935</v>
      </c>
      <c r="G82" s="360">
        <v>868732</v>
      </c>
      <c r="H82" s="360">
        <v>870056</v>
      </c>
    </row>
    <row r="83" spans="1:8" x14ac:dyDescent="0.2">
      <c r="A83" s="359" t="s">
        <v>454</v>
      </c>
      <c r="B83" s="359"/>
      <c r="C83" s="359" t="s">
        <v>455</v>
      </c>
      <c r="D83" s="360">
        <v>220000</v>
      </c>
      <c r="E83" s="360">
        <v>220000</v>
      </c>
      <c r="F83" s="360">
        <v>219968</v>
      </c>
      <c r="G83" s="360">
        <v>220188</v>
      </c>
      <c r="H83" s="360">
        <v>221539</v>
      </c>
    </row>
    <row r="84" spans="1:8" x14ac:dyDescent="0.2">
      <c r="A84" s="359" t="s">
        <v>456</v>
      </c>
      <c r="B84" s="359"/>
      <c r="C84" s="359" t="s">
        <v>457</v>
      </c>
      <c r="D84" s="360">
        <v>2114580</v>
      </c>
      <c r="E84" s="360">
        <v>2114580</v>
      </c>
      <c r="F84" s="360">
        <v>2116811</v>
      </c>
      <c r="G84" s="360">
        <v>2122330</v>
      </c>
      <c r="H84" s="360">
        <v>2128603</v>
      </c>
    </row>
    <row r="85" spans="1:8" x14ac:dyDescent="0.2">
      <c r="A85" s="359" t="s">
        <v>458</v>
      </c>
      <c r="B85" s="359"/>
      <c r="C85" s="359" t="s">
        <v>459</v>
      </c>
      <c r="D85" s="360">
        <v>260625</v>
      </c>
      <c r="E85" s="360">
        <v>260625</v>
      </c>
      <c r="F85" s="360">
        <v>261868</v>
      </c>
      <c r="G85" s="360">
        <v>264625</v>
      </c>
      <c r="H85" s="360">
        <v>274342</v>
      </c>
    </row>
    <row r="86" spans="1:8" x14ac:dyDescent="0.2">
      <c r="A86" s="359" t="s">
        <v>460</v>
      </c>
      <c r="B86" s="359"/>
      <c r="C86" s="359" t="s">
        <v>461</v>
      </c>
      <c r="D86" s="360">
        <v>115788</v>
      </c>
      <c r="E86" s="360">
        <v>115788</v>
      </c>
      <c r="F86" s="360">
        <v>115972</v>
      </c>
      <c r="G86" s="360">
        <v>116738</v>
      </c>
      <c r="H86" s="360">
        <v>117820</v>
      </c>
    </row>
    <row r="87" spans="1:8" x14ac:dyDescent="0.2">
      <c r="A87" s="359" t="s">
        <v>462</v>
      </c>
      <c r="B87" s="359"/>
      <c r="C87" s="359" t="s">
        <v>463</v>
      </c>
      <c r="D87" s="360">
        <v>2077240</v>
      </c>
      <c r="E87" s="360">
        <v>2077240</v>
      </c>
      <c r="F87" s="360">
        <v>2076016</v>
      </c>
      <c r="G87" s="360">
        <v>2068397</v>
      </c>
      <c r="H87" s="360">
        <v>2063535</v>
      </c>
    </row>
    <row r="88" spans="1:8" x14ac:dyDescent="0.2">
      <c r="A88" s="359" t="s">
        <v>464</v>
      </c>
      <c r="B88" s="359"/>
      <c r="C88" s="359" t="s">
        <v>465</v>
      </c>
      <c r="D88" s="360">
        <v>138494</v>
      </c>
      <c r="E88" s="360">
        <v>138494</v>
      </c>
      <c r="F88" s="360">
        <v>138920</v>
      </c>
      <c r="G88" s="360">
        <v>141103</v>
      </c>
      <c r="H88" s="360">
        <v>142357</v>
      </c>
    </row>
    <row r="89" spans="1:8" x14ac:dyDescent="0.2">
      <c r="A89" s="359" t="s">
        <v>466</v>
      </c>
      <c r="B89" s="359"/>
      <c r="C89" s="359" t="s">
        <v>467</v>
      </c>
      <c r="D89" s="360">
        <v>228660</v>
      </c>
      <c r="E89" s="360">
        <v>228660</v>
      </c>
      <c r="F89" s="360">
        <v>229483</v>
      </c>
      <c r="G89" s="360">
        <v>231462</v>
      </c>
      <c r="H89" s="360">
        <v>234501</v>
      </c>
    </row>
    <row r="90" spans="1:8" x14ac:dyDescent="0.2">
      <c r="A90" s="359" t="s">
        <v>468</v>
      </c>
      <c r="B90" s="359"/>
      <c r="C90" s="359" t="s">
        <v>469</v>
      </c>
      <c r="D90" s="360">
        <v>645613</v>
      </c>
      <c r="E90" s="360">
        <v>645613</v>
      </c>
      <c r="F90" s="360">
        <v>650130</v>
      </c>
      <c r="G90" s="360">
        <v>659773</v>
      </c>
      <c r="H90" s="360">
        <v>668353</v>
      </c>
    </row>
    <row r="91" spans="1:8" x14ac:dyDescent="0.2">
      <c r="A91" s="359" t="s">
        <v>470</v>
      </c>
      <c r="B91" s="359"/>
      <c r="C91" s="359" t="s">
        <v>471</v>
      </c>
      <c r="D91" s="360">
        <v>162642</v>
      </c>
      <c r="E91" s="360">
        <v>162642</v>
      </c>
      <c r="F91" s="360">
        <v>163222</v>
      </c>
      <c r="G91" s="360">
        <v>165921</v>
      </c>
      <c r="H91" s="360">
        <v>168535</v>
      </c>
    </row>
    <row r="92" spans="1:8" x14ac:dyDescent="0.2">
      <c r="A92" s="359" t="s">
        <v>472</v>
      </c>
      <c r="B92" s="359"/>
      <c r="C92" s="359" t="s">
        <v>473</v>
      </c>
      <c r="D92" s="360">
        <v>767598</v>
      </c>
      <c r="E92" s="360">
        <v>767602</v>
      </c>
      <c r="F92" s="360">
        <v>769819</v>
      </c>
      <c r="G92" s="360">
        <v>776793</v>
      </c>
      <c r="H92" s="360">
        <v>784745</v>
      </c>
    </row>
    <row r="93" spans="1:8" x14ac:dyDescent="0.2">
      <c r="A93" s="359" t="s">
        <v>474</v>
      </c>
      <c r="B93" s="359"/>
      <c r="C93" s="359" t="s">
        <v>475</v>
      </c>
      <c r="D93" s="360">
        <v>294865</v>
      </c>
      <c r="E93" s="360">
        <v>294869</v>
      </c>
      <c r="F93" s="360">
        <v>295741</v>
      </c>
      <c r="G93" s="360">
        <v>301865</v>
      </c>
      <c r="H93" s="360">
        <v>310531</v>
      </c>
    </row>
    <row r="94" spans="1:8" x14ac:dyDescent="0.2">
      <c r="A94" s="359" t="s">
        <v>476</v>
      </c>
      <c r="B94" s="359"/>
      <c r="C94" s="359" t="s">
        <v>477</v>
      </c>
      <c r="D94" s="360">
        <v>76794</v>
      </c>
      <c r="E94" s="360">
        <v>76794</v>
      </c>
      <c r="F94" s="360">
        <v>76893</v>
      </c>
      <c r="G94" s="360">
        <v>77817</v>
      </c>
      <c r="H94" s="360">
        <v>79129</v>
      </c>
    </row>
    <row r="95" spans="1:8" x14ac:dyDescent="0.2">
      <c r="A95" s="359" t="s">
        <v>478</v>
      </c>
      <c r="B95" s="359"/>
      <c r="C95" s="359" t="s">
        <v>479</v>
      </c>
      <c r="D95" s="360">
        <v>1901974</v>
      </c>
      <c r="E95" s="360">
        <v>1901965</v>
      </c>
      <c r="F95" s="360">
        <v>1906295</v>
      </c>
      <c r="G95" s="360">
        <v>1925137</v>
      </c>
      <c r="H95" s="360">
        <v>1944002</v>
      </c>
    </row>
    <row r="96" spans="1:8" x14ac:dyDescent="0.2">
      <c r="A96" s="359" t="s">
        <v>480</v>
      </c>
      <c r="B96" s="359"/>
      <c r="C96" s="359" t="s">
        <v>481</v>
      </c>
      <c r="D96" s="360">
        <v>428185</v>
      </c>
      <c r="E96" s="360">
        <v>428188</v>
      </c>
      <c r="F96" s="360">
        <v>428050</v>
      </c>
      <c r="G96" s="360">
        <v>430961</v>
      </c>
      <c r="H96" s="360">
        <v>437109</v>
      </c>
    </row>
    <row r="97" spans="1:10" x14ac:dyDescent="0.2">
      <c r="A97" s="359" t="s">
        <v>482</v>
      </c>
      <c r="B97" s="359"/>
      <c r="C97" s="359" t="s">
        <v>483</v>
      </c>
      <c r="D97" s="360">
        <v>85579</v>
      </c>
      <c r="E97" s="360">
        <v>85581</v>
      </c>
      <c r="F97" s="360">
        <v>85531</v>
      </c>
      <c r="G97" s="360">
        <v>86006</v>
      </c>
      <c r="H97" s="360">
        <v>86430</v>
      </c>
    </row>
    <row r="98" spans="1:10" x14ac:dyDescent="0.2">
      <c r="A98" s="359" t="s">
        <v>484</v>
      </c>
      <c r="B98" s="359"/>
      <c r="C98" s="359" t="s">
        <v>485</v>
      </c>
      <c r="D98" s="360">
        <v>235865</v>
      </c>
      <c r="E98" s="360">
        <v>235865</v>
      </c>
      <c r="F98" s="360">
        <v>236058</v>
      </c>
      <c r="G98" s="360">
        <v>239021</v>
      </c>
      <c r="H98" s="360">
        <v>247665</v>
      </c>
    </row>
    <row r="99" spans="1:10" x14ac:dyDescent="0.2">
      <c r="A99" s="359" t="s">
        <v>486</v>
      </c>
      <c r="B99" s="359"/>
      <c r="C99" s="359" t="s">
        <v>487</v>
      </c>
      <c r="D99" s="360">
        <v>103299</v>
      </c>
      <c r="E99" s="360">
        <v>103299</v>
      </c>
      <c r="F99" s="360">
        <v>103248</v>
      </c>
      <c r="G99" s="360">
        <v>102612</v>
      </c>
      <c r="H99" s="360">
        <v>101968</v>
      </c>
    </row>
    <row r="100" spans="1:10" x14ac:dyDescent="0.2">
      <c r="A100" s="359" t="s">
        <v>488</v>
      </c>
      <c r="B100" s="359"/>
      <c r="C100" s="359" t="s">
        <v>489</v>
      </c>
      <c r="D100" s="360">
        <v>6426214</v>
      </c>
      <c r="E100" s="360">
        <v>6426210</v>
      </c>
      <c r="F100" s="360">
        <v>6452764</v>
      </c>
      <c r="G100" s="360">
        <v>6569112</v>
      </c>
      <c r="H100" s="360">
        <v>6700991</v>
      </c>
      <c r="I100" s="366">
        <f>G100/F100-1</f>
        <v>1.8030722958409795E-2</v>
      </c>
      <c r="J100" s="366">
        <f t="shared" ref="J100" si="1">H100/G100-1</f>
        <v>2.0075620570938701E-2</v>
      </c>
    </row>
    <row r="101" spans="1:10" x14ac:dyDescent="0.2">
      <c r="A101" s="359" t="s">
        <v>488</v>
      </c>
      <c r="B101" s="359" t="s">
        <v>490</v>
      </c>
      <c r="C101" s="361" t="s">
        <v>491</v>
      </c>
      <c r="D101" s="360">
        <v>4230520</v>
      </c>
      <c r="E101" s="360">
        <v>4230516</v>
      </c>
      <c r="F101" s="360">
        <v>4248860</v>
      </c>
      <c r="G101" s="360">
        <v>4331844</v>
      </c>
      <c r="H101" s="360">
        <v>4426611</v>
      </c>
    </row>
    <row r="102" spans="1:10" x14ac:dyDescent="0.2">
      <c r="A102" s="359" t="s">
        <v>488</v>
      </c>
      <c r="B102" s="359" t="s">
        <v>492</v>
      </c>
      <c r="C102" s="361" t="s">
        <v>493</v>
      </c>
      <c r="D102" s="360">
        <v>2195694</v>
      </c>
      <c r="E102" s="360">
        <v>2195694</v>
      </c>
      <c r="F102" s="360">
        <v>2203904</v>
      </c>
      <c r="G102" s="360">
        <v>2237268</v>
      </c>
      <c r="H102" s="360">
        <v>2274380</v>
      </c>
    </row>
    <row r="103" spans="1:10" x14ac:dyDescent="0.2">
      <c r="A103" s="359" t="s">
        <v>494</v>
      </c>
      <c r="B103" s="359"/>
      <c r="C103" s="359" t="s">
        <v>495</v>
      </c>
      <c r="D103" s="360">
        <v>142227</v>
      </c>
      <c r="E103" s="360">
        <v>142227</v>
      </c>
      <c r="F103" s="360">
        <v>142361</v>
      </c>
      <c r="G103" s="360">
        <v>142507</v>
      </c>
      <c r="H103" s="360">
        <v>142751</v>
      </c>
    </row>
    <row r="104" spans="1:10" x14ac:dyDescent="0.2">
      <c r="A104" s="359" t="s">
        <v>496</v>
      </c>
      <c r="B104" s="359"/>
      <c r="C104" s="359" t="s">
        <v>497</v>
      </c>
      <c r="D104" s="360">
        <v>81625</v>
      </c>
      <c r="E104" s="360">
        <v>81625</v>
      </c>
      <c r="F104" s="360">
        <v>81581</v>
      </c>
      <c r="G104" s="360">
        <v>81367</v>
      </c>
      <c r="H104" s="360">
        <v>80727</v>
      </c>
    </row>
    <row r="105" spans="1:10" x14ac:dyDescent="0.2">
      <c r="A105" s="359" t="s">
        <v>498</v>
      </c>
      <c r="B105" s="359"/>
      <c r="C105" s="359" t="s">
        <v>499</v>
      </c>
      <c r="D105" s="360">
        <v>182265</v>
      </c>
      <c r="E105" s="360">
        <v>182265</v>
      </c>
      <c r="F105" s="360">
        <v>183275</v>
      </c>
      <c r="G105" s="360">
        <v>186830</v>
      </c>
      <c r="H105" s="360">
        <v>190790</v>
      </c>
    </row>
    <row r="106" spans="1:10" x14ac:dyDescent="0.2">
      <c r="A106" s="359" t="s">
        <v>500</v>
      </c>
      <c r="B106" s="359"/>
      <c r="C106" s="359" t="s">
        <v>501</v>
      </c>
      <c r="D106" s="360">
        <v>379690</v>
      </c>
      <c r="E106" s="360">
        <v>379690</v>
      </c>
      <c r="F106" s="360">
        <v>380245</v>
      </c>
      <c r="G106" s="360">
        <v>381226</v>
      </c>
      <c r="H106" s="360">
        <v>382630</v>
      </c>
    </row>
    <row r="107" spans="1:10" x14ac:dyDescent="0.2">
      <c r="A107" s="359" t="s">
        <v>502</v>
      </c>
      <c r="B107" s="359"/>
      <c r="C107" s="359" t="s">
        <v>503</v>
      </c>
      <c r="D107" s="360">
        <v>799232</v>
      </c>
      <c r="E107" s="360">
        <v>799232</v>
      </c>
      <c r="F107" s="360">
        <v>799980</v>
      </c>
      <c r="G107" s="360">
        <v>801040</v>
      </c>
      <c r="H107" s="360">
        <v>800972</v>
      </c>
    </row>
    <row r="108" spans="1:10" x14ac:dyDescent="0.2">
      <c r="A108" s="359" t="s">
        <v>504</v>
      </c>
      <c r="B108" s="359"/>
      <c r="C108" s="359" t="s">
        <v>505</v>
      </c>
      <c r="D108" s="360">
        <v>153829</v>
      </c>
      <c r="E108" s="360">
        <v>153829</v>
      </c>
      <c r="F108" s="360">
        <v>153887</v>
      </c>
      <c r="G108" s="360">
        <v>154115</v>
      </c>
      <c r="H108" s="360">
        <v>154233</v>
      </c>
    </row>
    <row r="109" spans="1:10" x14ac:dyDescent="0.2">
      <c r="A109" s="359" t="s">
        <v>506</v>
      </c>
      <c r="B109" s="359"/>
      <c r="C109" s="359" t="s">
        <v>507</v>
      </c>
      <c r="D109" s="360">
        <v>110768</v>
      </c>
      <c r="E109" s="360">
        <v>110768</v>
      </c>
      <c r="F109" s="360">
        <v>110734</v>
      </c>
      <c r="G109" s="360">
        <v>110616</v>
      </c>
      <c r="H109" s="360">
        <v>110122</v>
      </c>
    </row>
    <row r="110" spans="1:10" x14ac:dyDescent="0.2">
      <c r="A110" s="359" t="s">
        <v>508</v>
      </c>
      <c r="B110" s="359"/>
      <c r="C110" s="359" t="s">
        <v>509</v>
      </c>
      <c r="D110" s="360">
        <v>590289</v>
      </c>
      <c r="E110" s="360">
        <v>590293</v>
      </c>
      <c r="F110" s="360">
        <v>590681</v>
      </c>
      <c r="G110" s="360">
        <v>591550</v>
      </c>
      <c r="H110" s="360">
        <v>595309</v>
      </c>
    </row>
    <row r="111" spans="1:10" x14ac:dyDescent="0.2">
      <c r="A111" s="359" t="s">
        <v>510</v>
      </c>
      <c r="B111" s="359"/>
      <c r="C111" s="359" t="s">
        <v>511</v>
      </c>
      <c r="D111" s="360">
        <v>2543482</v>
      </c>
      <c r="E111" s="360">
        <v>2543478</v>
      </c>
      <c r="F111" s="360">
        <v>2554118</v>
      </c>
      <c r="G111" s="360">
        <v>2598496</v>
      </c>
      <c r="H111" s="360">
        <v>2645209</v>
      </c>
    </row>
    <row r="112" spans="1:10" x14ac:dyDescent="0.2">
      <c r="A112" s="359" t="s">
        <v>512</v>
      </c>
      <c r="B112" s="359"/>
      <c r="C112" s="359" t="s">
        <v>513</v>
      </c>
      <c r="D112" s="360">
        <v>569633</v>
      </c>
      <c r="E112" s="360">
        <v>569633</v>
      </c>
      <c r="F112" s="360">
        <v>572000</v>
      </c>
      <c r="G112" s="360">
        <v>580716</v>
      </c>
      <c r="H112" s="360">
        <v>588999</v>
      </c>
    </row>
    <row r="113" spans="1:8" x14ac:dyDescent="0.2">
      <c r="A113" s="359" t="s">
        <v>514</v>
      </c>
      <c r="B113" s="359"/>
      <c r="C113" s="359" t="s">
        <v>515</v>
      </c>
      <c r="D113" s="360">
        <v>4296250</v>
      </c>
      <c r="E113" s="360">
        <v>4296247</v>
      </c>
      <c r="F113" s="360">
        <v>4291828</v>
      </c>
      <c r="G113" s="360">
        <v>4287966</v>
      </c>
      <c r="H113" s="360">
        <v>4292060</v>
      </c>
    </row>
    <row r="114" spans="1:8" x14ac:dyDescent="0.2">
      <c r="A114" s="359" t="s">
        <v>514</v>
      </c>
      <c r="B114" s="359" t="s">
        <v>516</v>
      </c>
      <c r="C114" s="361" t="s">
        <v>517</v>
      </c>
      <c r="D114" s="360">
        <v>1820584</v>
      </c>
      <c r="E114" s="360">
        <v>1820575</v>
      </c>
      <c r="F114" s="360">
        <v>1815598</v>
      </c>
      <c r="G114" s="360">
        <v>1801789</v>
      </c>
      <c r="H114" s="360">
        <v>1792365</v>
      </c>
    </row>
    <row r="115" spans="1:8" x14ac:dyDescent="0.2">
      <c r="A115" s="359" t="s">
        <v>514</v>
      </c>
      <c r="B115" s="359" t="s">
        <v>518</v>
      </c>
      <c r="C115" s="361" t="s">
        <v>519</v>
      </c>
      <c r="D115" s="360">
        <v>2475666</v>
      </c>
      <c r="E115" s="360">
        <v>2475672</v>
      </c>
      <c r="F115" s="360">
        <v>2476230</v>
      </c>
      <c r="G115" s="360">
        <v>2486177</v>
      </c>
      <c r="H115" s="360">
        <v>2499695</v>
      </c>
    </row>
    <row r="116" spans="1:8" x14ac:dyDescent="0.2">
      <c r="A116" s="359" t="s">
        <v>520</v>
      </c>
      <c r="B116" s="359"/>
      <c r="C116" s="359" t="s">
        <v>521</v>
      </c>
      <c r="D116" s="360">
        <v>145639</v>
      </c>
      <c r="E116" s="360">
        <v>145639</v>
      </c>
      <c r="F116" s="360">
        <v>145892</v>
      </c>
      <c r="G116" s="360">
        <v>146651</v>
      </c>
      <c r="H116" s="360">
        <v>147620</v>
      </c>
    </row>
    <row r="117" spans="1:8" x14ac:dyDescent="0.2">
      <c r="A117" s="359" t="s">
        <v>522</v>
      </c>
      <c r="B117" s="359"/>
      <c r="C117" s="359" t="s">
        <v>523</v>
      </c>
      <c r="D117" s="360">
        <v>162310</v>
      </c>
      <c r="E117" s="360">
        <v>162310</v>
      </c>
      <c r="F117" s="360">
        <v>162973</v>
      </c>
      <c r="G117" s="360">
        <v>165319</v>
      </c>
      <c r="H117" s="360">
        <v>167626</v>
      </c>
    </row>
    <row r="118" spans="1:8" x14ac:dyDescent="0.2">
      <c r="A118" s="359" t="s">
        <v>524</v>
      </c>
      <c r="B118" s="359"/>
      <c r="C118" s="359" t="s">
        <v>525</v>
      </c>
      <c r="D118" s="360">
        <v>93653</v>
      </c>
      <c r="E118" s="360">
        <v>93653</v>
      </c>
      <c r="F118" s="360">
        <v>93879</v>
      </c>
      <c r="G118" s="360">
        <v>94436</v>
      </c>
      <c r="H118" s="360">
        <v>95097</v>
      </c>
    </row>
    <row r="119" spans="1:8" x14ac:dyDescent="0.2">
      <c r="A119" s="359" t="s">
        <v>526</v>
      </c>
      <c r="B119" s="359"/>
      <c r="C119" s="359" t="s">
        <v>527</v>
      </c>
      <c r="D119" s="360">
        <v>279771</v>
      </c>
      <c r="E119" s="360">
        <v>279771</v>
      </c>
      <c r="F119" s="360">
        <v>279766</v>
      </c>
      <c r="G119" s="360">
        <v>279838</v>
      </c>
      <c r="H119" s="360">
        <v>279452</v>
      </c>
    </row>
    <row r="120" spans="1:8" x14ac:dyDescent="0.2">
      <c r="A120" s="359" t="s">
        <v>528</v>
      </c>
      <c r="B120" s="359"/>
      <c r="C120" s="359" t="s">
        <v>529</v>
      </c>
      <c r="D120" s="360">
        <v>504357</v>
      </c>
      <c r="E120" s="360">
        <v>504401</v>
      </c>
      <c r="F120" s="360">
        <v>505894</v>
      </c>
      <c r="G120" s="360">
        <v>513900</v>
      </c>
      <c r="H120" s="360">
        <v>522826</v>
      </c>
    </row>
    <row r="121" spans="1:8" x14ac:dyDescent="0.2">
      <c r="A121" s="359" t="s">
        <v>530</v>
      </c>
      <c r="B121" s="359"/>
      <c r="C121" s="359" t="s">
        <v>531</v>
      </c>
      <c r="D121" s="360">
        <v>169842</v>
      </c>
      <c r="E121" s="360">
        <v>169843</v>
      </c>
      <c r="F121" s="360">
        <v>169981</v>
      </c>
      <c r="G121" s="360">
        <v>169986</v>
      </c>
      <c r="H121" s="360">
        <v>168798</v>
      </c>
    </row>
    <row r="122" spans="1:8" x14ac:dyDescent="0.2">
      <c r="A122" s="359" t="s">
        <v>532</v>
      </c>
      <c r="B122" s="359"/>
      <c r="C122" s="359" t="s">
        <v>533</v>
      </c>
      <c r="D122" s="360">
        <v>161151</v>
      </c>
      <c r="E122" s="360">
        <v>161151</v>
      </c>
      <c r="F122" s="360">
        <v>161365</v>
      </c>
      <c r="G122" s="360">
        <v>162633</v>
      </c>
      <c r="H122" s="360">
        <v>163599</v>
      </c>
    </row>
    <row r="123" spans="1:8" x14ac:dyDescent="0.2">
      <c r="A123" s="359" t="s">
        <v>534</v>
      </c>
      <c r="B123" s="359"/>
      <c r="C123" s="359" t="s">
        <v>535</v>
      </c>
      <c r="D123" s="360">
        <v>174528</v>
      </c>
      <c r="E123" s="360">
        <v>174528</v>
      </c>
      <c r="F123" s="360">
        <v>174667</v>
      </c>
      <c r="G123" s="360">
        <v>175897</v>
      </c>
      <c r="H123" s="360">
        <v>176948</v>
      </c>
    </row>
    <row r="124" spans="1:8" x14ac:dyDescent="0.2">
      <c r="A124" s="359" t="s">
        <v>536</v>
      </c>
      <c r="B124" s="359"/>
      <c r="C124" s="359" t="s">
        <v>537</v>
      </c>
      <c r="D124" s="360">
        <v>148338</v>
      </c>
      <c r="E124" s="360">
        <v>148339</v>
      </c>
      <c r="F124" s="360">
        <v>149922</v>
      </c>
      <c r="G124" s="360">
        <v>151186</v>
      </c>
      <c r="H124" s="360">
        <v>150413</v>
      </c>
    </row>
    <row r="125" spans="1:8" x14ac:dyDescent="0.2">
      <c r="A125" s="359" t="s">
        <v>538</v>
      </c>
      <c r="B125" s="359"/>
      <c r="C125" s="359" t="s">
        <v>539</v>
      </c>
      <c r="D125" s="360">
        <v>197559</v>
      </c>
      <c r="E125" s="360">
        <v>197561</v>
      </c>
      <c r="F125" s="360">
        <v>197476</v>
      </c>
      <c r="G125" s="360">
        <v>198700</v>
      </c>
      <c r="H125" s="360">
        <v>199619</v>
      </c>
    </row>
    <row r="126" spans="1:8" x14ac:dyDescent="0.2">
      <c r="A126" s="359" t="s">
        <v>540</v>
      </c>
      <c r="B126" s="359"/>
      <c r="C126" s="359" t="s">
        <v>541</v>
      </c>
      <c r="D126" s="360">
        <v>88830</v>
      </c>
      <c r="E126" s="360">
        <v>88830</v>
      </c>
      <c r="F126" s="360">
        <v>88835</v>
      </c>
      <c r="G126" s="360">
        <v>88798</v>
      </c>
      <c r="H126" s="360">
        <v>88911</v>
      </c>
    </row>
    <row r="127" spans="1:8" x14ac:dyDescent="0.2">
      <c r="A127" s="359" t="s">
        <v>542</v>
      </c>
      <c r="B127" s="359"/>
      <c r="C127" s="359" t="s">
        <v>543</v>
      </c>
      <c r="D127" s="360">
        <v>804123</v>
      </c>
      <c r="E127" s="360">
        <v>804123</v>
      </c>
      <c r="F127" s="360">
        <v>806981</v>
      </c>
      <c r="G127" s="360">
        <v>821408</v>
      </c>
      <c r="H127" s="360">
        <v>830735</v>
      </c>
    </row>
    <row r="128" spans="1:8" x14ac:dyDescent="0.2">
      <c r="A128" s="359" t="s">
        <v>544</v>
      </c>
      <c r="B128" s="359"/>
      <c r="C128" s="359" t="s">
        <v>545</v>
      </c>
      <c r="D128" s="360">
        <v>280566</v>
      </c>
      <c r="E128" s="360">
        <v>280566</v>
      </c>
      <c r="F128" s="360">
        <v>280749</v>
      </c>
      <c r="G128" s="360">
        <v>280988</v>
      </c>
      <c r="H128" s="360">
        <v>280646</v>
      </c>
    </row>
    <row r="129" spans="1:8" x14ac:dyDescent="0.2">
      <c r="A129" s="359" t="s">
        <v>546</v>
      </c>
      <c r="B129" s="359"/>
      <c r="C129" s="359" t="s">
        <v>547</v>
      </c>
      <c r="D129" s="360">
        <v>351715</v>
      </c>
      <c r="E129" s="360">
        <v>351715</v>
      </c>
      <c r="F129" s="360">
        <v>351921</v>
      </c>
      <c r="G129" s="360">
        <v>353481</v>
      </c>
      <c r="H129" s="360">
        <v>354542</v>
      </c>
    </row>
    <row r="130" spans="1:8" x14ac:dyDescent="0.2">
      <c r="A130" s="359" t="s">
        <v>548</v>
      </c>
      <c r="B130" s="359"/>
      <c r="C130" s="359" t="s">
        <v>549</v>
      </c>
      <c r="D130" s="360">
        <v>311552</v>
      </c>
      <c r="E130" s="360">
        <v>311552</v>
      </c>
      <c r="F130" s="360">
        <v>311814</v>
      </c>
      <c r="G130" s="360">
        <v>312705</v>
      </c>
      <c r="H130" s="360">
        <v>313433</v>
      </c>
    </row>
    <row r="131" spans="1:8" x14ac:dyDescent="0.2">
      <c r="A131" s="359" t="s">
        <v>550</v>
      </c>
      <c r="B131" s="359"/>
      <c r="C131" s="359" t="s">
        <v>551</v>
      </c>
      <c r="D131" s="360">
        <v>97581</v>
      </c>
      <c r="E131" s="360">
        <v>97581</v>
      </c>
      <c r="F131" s="360">
        <v>98267</v>
      </c>
      <c r="G131" s="360">
        <v>99286</v>
      </c>
      <c r="H131" s="360">
        <v>100272</v>
      </c>
    </row>
    <row r="132" spans="1:8" x14ac:dyDescent="0.2">
      <c r="A132" s="359" t="s">
        <v>552</v>
      </c>
      <c r="B132" s="359"/>
      <c r="C132" s="359" t="s">
        <v>553</v>
      </c>
      <c r="D132" s="360">
        <v>208777</v>
      </c>
      <c r="E132" s="360">
        <v>208777</v>
      </c>
      <c r="F132" s="360">
        <v>209416</v>
      </c>
      <c r="G132" s="360">
        <v>212586</v>
      </c>
      <c r="H132" s="360">
        <v>216312</v>
      </c>
    </row>
    <row r="133" spans="1:8" x14ac:dyDescent="0.2">
      <c r="A133" s="359" t="s">
        <v>554</v>
      </c>
      <c r="B133" s="359"/>
      <c r="C133" s="359" t="s">
        <v>555</v>
      </c>
      <c r="D133" s="360">
        <v>130044</v>
      </c>
      <c r="E133" s="360">
        <v>130044</v>
      </c>
      <c r="F133" s="360">
        <v>130144</v>
      </c>
      <c r="G133" s="360">
        <v>128063</v>
      </c>
      <c r="H133" s="360">
        <v>128529</v>
      </c>
    </row>
    <row r="134" spans="1:8" x14ac:dyDescent="0.2">
      <c r="A134" s="359" t="s">
        <v>556</v>
      </c>
      <c r="B134" s="359"/>
      <c r="C134" s="359" t="s">
        <v>557</v>
      </c>
      <c r="D134" s="360">
        <v>366383</v>
      </c>
      <c r="E134" s="360">
        <v>366383</v>
      </c>
      <c r="F134" s="360">
        <v>367744</v>
      </c>
      <c r="G134" s="360">
        <v>372788</v>
      </c>
      <c r="H134" s="360">
        <v>374585</v>
      </c>
    </row>
    <row r="135" spans="1:8" x14ac:dyDescent="0.2">
      <c r="A135" s="359" t="s">
        <v>558</v>
      </c>
      <c r="B135" s="359"/>
      <c r="C135" s="359" t="s">
        <v>559</v>
      </c>
      <c r="D135" s="360">
        <v>463204</v>
      </c>
      <c r="E135" s="360">
        <v>463207</v>
      </c>
      <c r="F135" s="360">
        <v>465776</v>
      </c>
      <c r="G135" s="360">
        <v>473933</v>
      </c>
      <c r="H135" s="360">
        <v>482200</v>
      </c>
    </row>
    <row r="136" spans="1:8" x14ac:dyDescent="0.2">
      <c r="A136" s="359" t="s">
        <v>560</v>
      </c>
      <c r="B136" s="359"/>
      <c r="C136" s="359" t="s">
        <v>561</v>
      </c>
      <c r="D136" s="360">
        <v>134421</v>
      </c>
      <c r="E136" s="360">
        <v>134420</v>
      </c>
      <c r="F136" s="360">
        <v>134611</v>
      </c>
      <c r="G136" s="360">
        <v>134105</v>
      </c>
      <c r="H136" s="360">
        <v>136011</v>
      </c>
    </row>
    <row r="137" spans="1:8" x14ac:dyDescent="0.2">
      <c r="A137" s="359" t="s">
        <v>562</v>
      </c>
      <c r="B137" s="359"/>
      <c r="C137" s="359" t="s">
        <v>563</v>
      </c>
      <c r="D137" s="360">
        <v>425790</v>
      </c>
      <c r="E137" s="360">
        <v>425790</v>
      </c>
      <c r="F137" s="360">
        <v>425152</v>
      </c>
      <c r="G137" s="360">
        <v>422053</v>
      </c>
      <c r="H137" s="360">
        <v>418408</v>
      </c>
    </row>
    <row r="138" spans="1:8" x14ac:dyDescent="0.2">
      <c r="A138" s="359" t="s">
        <v>564</v>
      </c>
      <c r="B138" s="359"/>
      <c r="C138" s="359" t="s">
        <v>565</v>
      </c>
      <c r="D138" s="360">
        <v>205566</v>
      </c>
      <c r="E138" s="360">
        <v>205562</v>
      </c>
      <c r="F138" s="360">
        <v>205645</v>
      </c>
      <c r="G138" s="360">
        <v>205711</v>
      </c>
      <c r="H138" s="360">
        <v>206087</v>
      </c>
    </row>
    <row r="139" spans="1:8" x14ac:dyDescent="0.2">
      <c r="A139" s="359" t="s">
        <v>566</v>
      </c>
      <c r="B139" s="359"/>
      <c r="C139" s="359" t="s">
        <v>567</v>
      </c>
      <c r="D139" s="360">
        <v>147137</v>
      </c>
      <c r="E139" s="360">
        <v>147137</v>
      </c>
      <c r="F139" s="360">
        <v>147198</v>
      </c>
      <c r="G139" s="360">
        <v>147082</v>
      </c>
      <c r="H139" s="360">
        <v>146988</v>
      </c>
    </row>
    <row r="140" spans="1:8" x14ac:dyDescent="0.2">
      <c r="A140" s="359" t="s">
        <v>568</v>
      </c>
      <c r="B140" s="359"/>
      <c r="C140" s="359" t="s">
        <v>569</v>
      </c>
      <c r="D140" s="360">
        <v>101633</v>
      </c>
      <c r="E140" s="360">
        <v>101633</v>
      </c>
      <c r="F140" s="360">
        <v>101695</v>
      </c>
      <c r="G140" s="360">
        <v>101856</v>
      </c>
      <c r="H140" s="360">
        <v>101843</v>
      </c>
    </row>
    <row r="141" spans="1:8" x14ac:dyDescent="0.2">
      <c r="A141" s="359" t="s">
        <v>570</v>
      </c>
      <c r="B141" s="359"/>
      <c r="C141" s="359" t="s">
        <v>571</v>
      </c>
      <c r="D141" s="360">
        <v>299630</v>
      </c>
      <c r="E141" s="360">
        <v>299630</v>
      </c>
      <c r="F141" s="360">
        <v>300426</v>
      </c>
      <c r="G141" s="360">
        <v>305091</v>
      </c>
      <c r="H141" s="360">
        <v>310487</v>
      </c>
    </row>
    <row r="142" spans="1:8" x14ac:dyDescent="0.2">
      <c r="A142" s="359" t="s">
        <v>572</v>
      </c>
      <c r="B142" s="359"/>
      <c r="C142" s="359" t="s">
        <v>573</v>
      </c>
      <c r="D142" s="360">
        <v>280467</v>
      </c>
      <c r="E142" s="360">
        <v>280468</v>
      </c>
      <c r="F142" s="360">
        <v>280712</v>
      </c>
      <c r="G142" s="360">
        <v>280866</v>
      </c>
      <c r="H142" s="360">
        <v>280521</v>
      </c>
    </row>
    <row r="143" spans="1:8" x14ac:dyDescent="0.2">
      <c r="A143" s="359" t="s">
        <v>574</v>
      </c>
      <c r="B143" s="359"/>
      <c r="C143" s="359" t="s">
        <v>575</v>
      </c>
      <c r="D143" s="360">
        <v>416257</v>
      </c>
      <c r="E143" s="360">
        <v>416257</v>
      </c>
      <c r="F143" s="360">
        <v>416779</v>
      </c>
      <c r="G143" s="360">
        <v>419568</v>
      </c>
      <c r="H143" s="360">
        <v>421406</v>
      </c>
    </row>
    <row r="144" spans="1:8" x14ac:dyDescent="0.2">
      <c r="A144" s="359" t="s">
        <v>576</v>
      </c>
      <c r="B144" s="359"/>
      <c r="C144" s="359" t="s">
        <v>577</v>
      </c>
      <c r="D144" s="360">
        <v>930450</v>
      </c>
      <c r="E144" s="360">
        <v>930450</v>
      </c>
      <c r="F144" s="360">
        <v>932696</v>
      </c>
      <c r="G144" s="360">
        <v>940887</v>
      </c>
      <c r="H144" s="360">
        <v>947895</v>
      </c>
    </row>
    <row r="145" spans="1:8" x14ac:dyDescent="0.2">
      <c r="A145" s="359" t="s">
        <v>578</v>
      </c>
      <c r="B145" s="359"/>
      <c r="C145" s="359" t="s">
        <v>579</v>
      </c>
      <c r="D145" s="360">
        <v>104430</v>
      </c>
      <c r="E145" s="360">
        <v>104430</v>
      </c>
      <c r="F145" s="360">
        <v>104452</v>
      </c>
      <c r="G145" s="360">
        <v>104298</v>
      </c>
      <c r="H145" s="360">
        <v>104392</v>
      </c>
    </row>
    <row r="146" spans="1:8" x14ac:dyDescent="0.2">
      <c r="A146" s="359" t="s">
        <v>580</v>
      </c>
      <c r="B146" s="359"/>
      <c r="C146" s="359" t="s">
        <v>581</v>
      </c>
      <c r="D146" s="360">
        <v>264275</v>
      </c>
      <c r="E146" s="360">
        <v>264275</v>
      </c>
      <c r="F146" s="360">
        <v>264470</v>
      </c>
      <c r="G146" s="360">
        <v>266392</v>
      </c>
      <c r="H146" s="360">
        <v>268232</v>
      </c>
    </row>
    <row r="147" spans="1:8" x14ac:dyDescent="0.2">
      <c r="A147" s="359" t="s">
        <v>582</v>
      </c>
      <c r="B147" s="359"/>
      <c r="C147" s="359" t="s">
        <v>583</v>
      </c>
      <c r="D147" s="360">
        <v>179684</v>
      </c>
      <c r="E147" s="360">
        <v>179684</v>
      </c>
      <c r="F147" s="360">
        <v>179992</v>
      </c>
      <c r="G147" s="360">
        <v>182965</v>
      </c>
      <c r="H147" s="360">
        <v>185416</v>
      </c>
    </row>
    <row r="148" spans="1:8" x14ac:dyDescent="0.2">
      <c r="A148" s="359" t="s">
        <v>584</v>
      </c>
      <c r="B148" s="359"/>
      <c r="C148" s="359" t="s">
        <v>585</v>
      </c>
      <c r="D148" s="360">
        <v>101407</v>
      </c>
      <c r="E148" s="360">
        <v>101407</v>
      </c>
      <c r="F148" s="360">
        <v>101423</v>
      </c>
      <c r="G148" s="360">
        <v>101549</v>
      </c>
      <c r="H148" s="360">
        <v>101482</v>
      </c>
    </row>
    <row r="149" spans="1:8" x14ac:dyDescent="0.2">
      <c r="A149" s="359" t="s">
        <v>586</v>
      </c>
      <c r="B149" s="359"/>
      <c r="C149" s="359" t="s">
        <v>587</v>
      </c>
      <c r="D149" s="360">
        <v>128923</v>
      </c>
      <c r="E149" s="360">
        <v>128921</v>
      </c>
      <c r="F149" s="360">
        <v>128968</v>
      </c>
      <c r="G149" s="360">
        <v>128733</v>
      </c>
      <c r="H149" s="360">
        <v>128472</v>
      </c>
    </row>
    <row r="150" spans="1:8" x14ac:dyDescent="0.2">
      <c r="A150" s="359" t="s">
        <v>588</v>
      </c>
      <c r="B150" s="359"/>
      <c r="C150" s="359" t="s">
        <v>589</v>
      </c>
      <c r="D150" s="360">
        <v>122623</v>
      </c>
      <c r="E150" s="360">
        <v>122623</v>
      </c>
      <c r="F150" s="360">
        <v>122882</v>
      </c>
      <c r="G150" s="360">
        <v>123839</v>
      </c>
      <c r="H150" s="360">
        <v>124246</v>
      </c>
    </row>
    <row r="151" spans="1:8" x14ac:dyDescent="0.2">
      <c r="A151" s="359" t="s">
        <v>590</v>
      </c>
      <c r="B151" s="359"/>
      <c r="C151" s="359" t="s">
        <v>591</v>
      </c>
      <c r="D151" s="360">
        <v>98461</v>
      </c>
      <c r="E151" s="360">
        <v>98461</v>
      </c>
      <c r="F151" s="360">
        <v>98599</v>
      </c>
      <c r="G151" s="360">
        <v>98061</v>
      </c>
      <c r="H151" s="360">
        <v>98888</v>
      </c>
    </row>
    <row r="152" spans="1:8" x14ac:dyDescent="0.2">
      <c r="A152" s="359" t="s">
        <v>592</v>
      </c>
      <c r="B152" s="359"/>
      <c r="C152" s="359" t="s">
        <v>593</v>
      </c>
      <c r="D152" s="360">
        <v>81850</v>
      </c>
      <c r="E152" s="360">
        <v>81850</v>
      </c>
      <c r="F152" s="360">
        <v>82001</v>
      </c>
      <c r="G152" s="360">
        <v>82660</v>
      </c>
      <c r="H152" s="360">
        <v>83472</v>
      </c>
    </row>
    <row r="153" spans="1:8" x14ac:dyDescent="0.2">
      <c r="A153" s="359" t="s">
        <v>594</v>
      </c>
      <c r="B153" s="359"/>
      <c r="C153" s="359" t="s">
        <v>595</v>
      </c>
      <c r="D153" s="360">
        <v>146723</v>
      </c>
      <c r="E153" s="360">
        <v>146723</v>
      </c>
      <c r="F153" s="360">
        <v>146475</v>
      </c>
      <c r="G153" s="360">
        <v>147481</v>
      </c>
      <c r="H153" s="360">
        <v>147848</v>
      </c>
    </row>
    <row r="154" spans="1:8" x14ac:dyDescent="0.2">
      <c r="A154" s="359" t="s">
        <v>596</v>
      </c>
      <c r="B154" s="359"/>
      <c r="C154" s="359" t="s">
        <v>597</v>
      </c>
      <c r="D154" s="360">
        <v>988938</v>
      </c>
      <c r="E154" s="360">
        <v>988938</v>
      </c>
      <c r="F154" s="360">
        <v>989481</v>
      </c>
      <c r="G154" s="360">
        <v>996454</v>
      </c>
      <c r="H154" s="360">
        <v>1005648</v>
      </c>
    </row>
    <row r="155" spans="1:8" x14ac:dyDescent="0.2">
      <c r="A155" s="359" t="s">
        <v>598</v>
      </c>
      <c r="B155" s="359"/>
      <c r="C155" s="359" t="s">
        <v>599</v>
      </c>
      <c r="D155" s="360">
        <v>82713</v>
      </c>
      <c r="E155" s="360">
        <v>82713</v>
      </c>
      <c r="F155" s="360">
        <v>82865</v>
      </c>
      <c r="G155" s="360">
        <v>82680</v>
      </c>
      <c r="H155" s="360">
        <v>82930</v>
      </c>
    </row>
    <row r="156" spans="1:8" x14ac:dyDescent="0.2">
      <c r="A156" s="359" t="s">
        <v>600</v>
      </c>
      <c r="B156" s="359"/>
      <c r="C156" s="359" t="s">
        <v>601</v>
      </c>
      <c r="D156" s="360">
        <v>81327</v>
      </c>
      <c r="E156" s="360">
        <v>81327</v>
      </c>
      <c r="F156" s="360">
        <v>81540</v>
      </c>
      <c r="G156" s="360">
        <v>81769</v>
      </c>
      <c r="H156" s="360">
        <v>81723</v>
      </c>
    </row>
    <row r="157" spans="1:8" x14ac:dyDescent="0.2">
      <c r="A157" s="359" t="s">
        <v>602</v>
      </c>
      <c r="B157" s="359"/>
      <c r="C157" s="359" t="s">
        <v>603</v>
      </c>
      <c r="D157" s="360">
        <v>252825</v>
      </c>
      <c r="E157" s="360">
        <v>252825</v>
      </c>
      <c r="F157" s="360">
        <v>254081</v>
      </c>
      <c r="G157" s="360">
        <v>258351</v>
      </c>
      <c r="H157" s="360">
        <v>263691</v>
      </c>
    </row>
    <row r="158" spans="1:8" x14ac:dyDescent="0.2">
      <c r="A158" s="359" t="s">
        <v>604</v>
      </c>
      <c r="B158" s="359"/>
      <c r="C158" s="359" t="s">
        <v>605</v>
      </c>
      <c r="D158" s="360">
        <v>306241</v>
      </c>
      <c r="E158" s="360">
        <v>306241</v>
      </c>
      <c r="F158" s="360">
        <v>306775</v>
      </c>
      <c r="G158" s="360">
        <v>308761</v>
      </c>
      <c r="H158" s="360">
        <v>311098</v>
      </c>
    </row>
    <row r="159" spans="1:8" x14ac:dyDescent="0.2">
      <c r="A159" s="359" t="s">
        <v>606</v>
      </c>
      <c r="B159" s="359"/>
      <c r="C159" s="359" t="s">
        <v>607</v>
      </c>
      <c r="D159" s="360">
        <v>723801</v>
      </c>
      <c r="E159" s="360">
        <v>723798</v>
      </c>
      <c r="F159" s="360">
        <v>725134</v>
      </c>
      <c r="G159" s="360">
        <v>730531</v>
      </c>
      <c r="H159" s="360">
        <v>736065</v>
      </c>
    </row>
    <row r="160" spans="1:8" x14ac:dyDescent="0.2">
      <c r="A160" s="359" t="s">
        <v>608</v>
      </c>
      <c r="B160" s="359"/>
      <c r="C160" s="359" t="s">
        <v>609</v>
      </c>
      <c r="D160" s="360">
        <v>168148</v>
      </c>
      <c r="E160" s="360">
        <v>168148</v>
      </c>
      <c r="F160" s="360">
        <v>168787</v>
      </c>
      <c r="G160" s="360">
        <v>170715</v>
      </c>
      <c r="H160" s="360">
        <v>172554</v>
      </c>
    </row>
    <row r="161" spans="1:8" x14ac:dyDescent="0.2">
      <c r="A161" s="359" t="s">
        <v>610</v>
      </c>
      <c r="B161" s="359"/>
      <c r="C161" s="359" t="s">
        <v>611</v>
      </c>
      <c r="D161" s="360">
        <v>824112</v>
      </c>
      <c r="E161" s="360">
        <v>824106</v>
      </c>
      <c r="F161" s="360">
        <v>825788</v>
      </c>
      <c r="G161" s="360">
        <v>833063</v>
      </c>
      <c r="H161" s="360">
        <v>842853</v>
      </c>
    </row>
    <row r="162" spans="1:8" x14ac:dyDescent="0.2">
      <c r="A162" s="359" t="s">
        <v>612</v>
      </c>
      <c r="B162" s="359"/>
      <c r="C162" s="359" t="s">
        <v>613</v>
      </c>
      <c r="D162" s="360">
        <v>370702</v>
      </c>
      <c r="E162" s="360">
        <v>370702</v>
      </c>
      <c r="F162" s="360">
        <v>371561</v>
      </c>
      <c r="G162" s="360">
        <v>375911</v>
      </c>
      <c r="H162" s="360">
        <v>379582</v>
      </c>
    </row>
    <row r="163" spans="1:8" x14ac:dyDescent="0.2">
      <c r="A163" s="359" t="s">
        <v>614</v>
      </c>
      <c r="B163" s="359"/>
      <c r="C163" s="359" t="s">
        <v>615</v>
      </c>
      <c r="D163" s="360">
        <v>251599</v>
      </c>
      <c r="E163" s="360">
        <v>251599</v>
      </c>
      <c r="F163" s="360">
        <v>252495</v>
      </c>
      <c r="G163" s="360">
        <v>254601</v>
      </c>
      <c r="H163" s="360">
        <v>256278</v>
      </c>
    </row>
    <row r="164" spans="1:8" x14ac:dyDescent="0.2">
      <c r="A164" s="359" t="s">
        <v>616</v>
      </c>
      <c r="B164" s="359"/>
      <c r="C164" s="359" t="s">
        <v>617</v>
      </c>
      <c r="D164" s="360">
        <v>121097</v>
      </c>
      <c r="E164" s="360">
        <v>121101</v>
      </c>
      <c r="F164" s="360">
        <v>121453</v>
      </c>
      <c r="G164" s="360">
        <v>122519</v>
      </c>
      <c r="H164" s="360">
        <v>123441</v>
      </c>
    </row>
    <row r="165" spans="1:8" x14ac:dyDescent="0.2">
      <c r="A165" s="359" t="s">
        <v>618</v>
      </c>
      <c r="B165" s="359"/>
      <c r="C165" s="359" t="s">
        <v>619</v>
      </c>
      <c r="D165" s="360">
        <v>152982</v>
      </c>
      <c r="E165" s="360">
        <v>152982</v>
      </c>
      <c r="F165" s="360">
        <v>152301</v>
      </c>
      <c r="G165" s="360">
        <v>151941</v>
      </c>
      <c r="H165" s="360">
        <v>151364</v>
      </c>
    </row>
    <row r="166" spans="1:8" x14ac:dyDescent="0.2">
      <c r="A166" s="359" t="s">
        <v>620</v>
      </c>
      <c r="B166" s="359"/>
      <c r="C166" s="359" t="s">
        <v>621</v>
      </c>
      <c r="D166" s="360">
        <v>549475</v>
      </c>
      <c r="E166" s="360">
        <v>549473</v>
      </c>
      <c r="F166" s="360">
        <v>550212</v>
      </c>
      <c r="G166" s="360">
        <v>551611</v>
      </c>
      <c r="H166" s="360">
        <v>553980</v>
      </c>
    </row>
    <row r="167" spans="1:8" x14ac:dyDescent="0.2">
      <c r="A167" s="359" t="s">
        <v>622</v>
      </c>
      <c r="B167" s="359"/>
      <c r="C167" s="359" t="s">
        <v>623</v>
      </c>
      <c r="D167" s="360">
        <v>125228</v>
      </c>
      <c r="E167" s="360">
        <v>125215</v>
      </c>
      <c r="F167" s="360">
        <v>125393</v>
      </c>
      <c r="G167" s="360">
        <v>126706</v>
      </c>
      <c r="H167" s="360">
        <v>128372</v>
      </c>
    </row>
    <row r="168" spans="1:8" x14ac:dyDescent="0.2">
      <c r="A168" s="359" t="s">
        <v>624</v>
      </c>
      <c r="B168" s="359"/>
      <c r="C168" s="359" t="s">
        <v>625</v>
      </c>
      <c r="D168" s="360">
        <v>1212381</v>
      </c>
      <c r="E168" s="360">
        <v>1212384</v>
      </c>
      <c r="F168" s="360">
        <v>1212839</v>
      </c>
      <c r="G168" s="360">
        <v>1215119</v>
      </c>
      <c r="H168" s="360">
        <v>1214400</v>
      </c>
    </row>
    <row r="169" spans="1:8" x14ac:dyDescent="0.2">
      <c r="A169" s="359" t="s">
        <v>626</v>
      </c>
      <c r="B169" s="359"/>
      <c r="C169" s="359" t="s">
        <v>627</v>
      </c>
      <c r="D169" s="360">
        <v>142842</v>
      </c>
      <c r="E169" s="360">
        <v>142841</v>
      </c>
      <c r="F169" s="360">
        <v>143280</v>
      </c>
      <c r="G169" s="360">
        <v>145262</v>
      </c>
      <c r="H169" s="360">
        <v>146766</v>
      </c>
    </row>
    <row r="170" spans="1:8" x14ac:dyDescent="0.2">
      <c r="A170" s="359" t="s">
        <v>628</v>
      </c>
      <c r="B170" s="359"/>
      <c r="C170" s="359" t="s">
        <v>629</v>
      </c>
      <c r="D170" s="360">
        <v>365497</v>
      </c>
      <c r="E170" s="360">
        <v>365492</v>
      </c>
      <c r="F170" s="360">
        <v>365208</v>
      </c>
      <c r="G170" s="360">
        <v>364170</v>
      </c>
      <c r="H170" s="360">
        <v>363627</v>
      </c>
    </row>
    <row r="171" spans="1:8" x14ac:dyDescent="0.2">
      <c r="A171" s="359" t="s">
        <v>630</v>
      </c>
      <c r="B171" s="359"/>
      <c r="C171" s="359" t="s">
        <v>631</v>
      </c>
      <c r="D171" s="360">
        <v>187010</v>
      </c>
      <c r="E171" s="360">
        <v>187010</v>
      </c>
      <c r="F171" s="360">
        <v>187923</v>
      </c>
      <c r="G171" s="360">
        <v>189749</v>
      </c>
      <c r="H171" s="360">
        <v>193882</v>
      </c>
    </row>
    <row r="172" spans="1:8" x14ac:dyDescent="0.2">
      <c r="A172" s="359" t="s">
        <v>632</v>
      </c>
      <c r="B172" s="359"/>
      <c r="C172" s="359" t="s">
        <v>633</v>
      </c>
      <c r="D172" s="360">
        <v>77917</v>
      </c>
      <c r="E172" s="360">
        <v>77917</v>
      </c>
      <c r="F172" s="360">
        <v>77434</v>
      </c>
      <c r="G172" s="360">
        <v>80577</v>
      </c>
      <c r="H172" s="360">
        <v>81519</v>
      </c>
    </row>
    <row r="173" spans="1:8" x14ac:dyDescent="0.2">
      <c r="A173" s="359" t="s">
        <v>634</v>
      </c>
      <c r="B173" s="359"/>
      <c r="C173" s="359" t="s">
        <v>635</v>
      </c>
      <c r="D173" s="360">
        <v>141236</v>
      </c>
      <c r="E173" s="360">
        <v>141236</v>
      </c>
      <c r="F173" s="360">
        <v>141312</v>
      </c>
      <c r="G173" s="360">
        <v>139849</v>
      </c>
      <c r="H173" s="360">
        <v>139360</v>
      </c>
    </row>
    <row r="174" spans="1:8" x14ac:dyDescent="0.2">
      <c r="A174" s="359" t="s">
        <v>636</v>
      </c>
      <c r="B174" s="359"/>
      <c r="C174" s="359" t="s">
        <v>637</v>
      </c>
      <c r="D174" s="360">
        <v>96024</v>
      </c>
      <c r="E174" s="360">
        <v>96024</v>
      </c>
      <c r="F174" s="360">
        <v>96230</v>
      </c>
      <c r="G174" s="360">
        <v>96637</v>
      </c>
      <c r="H174" s="360">
        <v>96903</v>
      </c>
    </row>
    <row r="175" spans="1:8" x14ac:dyDescent="0.2">
      <c r="A175" s="359" t="s">
        <v>638</v>
      </c>
      <c r="B175" s="359"/>
      <c r="C175" s="359" t="s">
        <v>639</v>
      </c>
      <c r="D175" s="360">
        <v>208178</v>
      </c>
      <c r="E175" s="360">
        <v>208178</v>
      </c>
      <c r="F175" s="360">
        <v>208192</v>
      </c>
      <c r="G175" s="360">
        <v>208657</v>
      </c>
      <c r="H175" s="360">
        <v>208922</v>
      </c>
    </row>
    <row r="176" spans="1:8" x14ac:dyDescent="0.2">
      <c r="A176" s="359" t="s">
        <v>640</v>
      </c>
      <c r="B176" s="359"/>
      <c r="C176" s="359" t="s">
        <v>641</v>
      </c>
      <c r="D176" s="360">
        <v>5920416</v>
      </c>
      <c r="E176" s="360">
        <v>5920456</v>
      </c>
      <c r="F176" s="360">
        <v>5948300</v>
      </c>
      <c r="G176" s="360">
        <v>6051850</v>
      </c>
      <c r="H176" s="360">
        <v>6177035</v>
      </c>
    </row>
    <row r="177" spans="1:8" x14ac:dyDescent="0.2">
      <c r="A177" s="359" t="s">
        <v>642</v>
      </c>
      <c r="B177" s="359"/>
      <c r="C177" s="359" t="s">
        <v>643</v>
      </c>
      <c r="D177" s="360">
        <v>364908</v>
      </c>
      <c r="E177" s="360">
        <v>364908</v>
      </c>
      <c r="F177" s="360">
        <v>365008</v>
      </c>
      <c r="G177" s="360">
        <v>364742</v>
      </c>
      <c r="H177" s="360">
        <v>364665</v>
      </c>
    </row>
    <row r="178" spans="1:8" x14ac:dyDescent="0.2">
      <c r="A178" s="359" t="s">
        <v>644</v>
      </c>
      <c r="B178" s="359"/>
      <c r="C178" s="359" t="s">
        <v>645</v>
      </c>
      <c r="D178" s="360">
        <v>417593</v>
      </c>
      <c r="E178" s="360">
        <v>417593</v>
      </c>
      <c r="F178" s="360">
        <v>419381</v>
      </c>
      <c r="G178" s="360">
        <v>425212</v>
      </c>
      <c r="H178" s="360">
        <v>430734</v>
      </c>
    </row>
    <row r="179" spans="1:8" x14ac:dyDescent="0.2">
      <c r="A179" s="359" t="s">
        <v>646</v>
      </c>
      <c r="B179" s="359"/>
      <c r="C179" s="359" t="s">
        <v>647</v>
      </c>
      <c r="D179" s="360">
        <v>133265</v>
      </c>
      <c r="E179" s="360">
        <v>133337</v>
      </c>
      <c r="F179" s="360">
        <v>133797</v>
      </c>
      <c r="G179" s="360">
        <v>134847</v>
      </c>
      <c r="H179" s="360">
        <v>136108</v>
      </c>
    </row>
    <row r="180" spans="1:8" x14ac:dyDescent="0.2">
      <c r="A180" s="359" t="s">
        <v>648</v>
      </c>
      <c r="B180" s="359"/>
      <c r="C180" s="359" t="s">
        <v>649</v>
      </c>
      <c r="D180" s="360">
        <v>1887877</v>
      </c>
      <c r="E180" s="360">
        <v>1887877</v>
      </c>
      <c r="F180" s="360">
        <v>1892368</v>
      </c>
      <c r="G180" s="360">
        <v>1910053</v>
      </c>
      <c r="H180" s="360">
        <v>1928982</v>
      </c>
    </row>
    <row r="181" spans="1:8" x14ac:dyDescent="0.2">
      <c r="A181" s="359" t="s">
        <v>650</v>
      </c>
      <c r="B181" s="359"/>
      <c r="C181" s="359" t="s">
        <v>651</v>
      </c>
      <c r="D181" s="360">
        <v>152586</v>
      </c>
      <c r="E181" s="360">
        <v>152586</v>
      </c>
      <c r="F181" s="360">
        <v>152994</v>
      </c>
      <c r="G181" s="360">
        <v>155378</v>
      </c>
      <c r="H181" s="360">
        <v>158231</v>
      </c>
    </row>
    <row r="182" spans="1:8" x14ac:dyDescent="0.2">
      <c r="A182" s="359" t="s">
        <v>652</v>
      </c>
      <c r="B182" s="359"/>
      <c r="C182" s="359" t="s">
        <v>653</v>
      </c>
      <c r="D182" s="360">
        <v>101564</v>
      </c>
      <c r="E182" s="360">
        <v>101564</v>
      </c>
      <c r="F182" s="360">
        <v>101651</v>
      </c>
      <c r="G182" s="360">
        <v>101763</v>
      </c>
      <c r="H182" s="360">
        <v>102554</v>
      </c>
    </row>
    <row r="183" spans="1:8" x14ac:dyDescent="0.2">
      <c r="A183" s="359" t="s">
        <v>654</v>
      </c>
      <c r="B183" s="359"/>
      <c r="C183" s="359" t="s">
        <v>655</v>
      </c>
      <c r="D183" s="360">
        <v>160248</v>
      </c>
      <c r="E183" s="360">
        <v>160248</v>
      </c>
      <c r="F183" s="360">
        <v>160226</v>
      </c>
      <c r="G183" s="360">
        <v>159810</v>
      </c>
      <c r="H183" s="360">
        <v>160309</v>
      </c>
    </row>
    <row r="184" spans="1:8" x14ac:dyDescent="0.2">
      <c r="A184" s="359" t="s">
        <v>656</v>
      </c>
      <c r="B184" s="359"/>
      <c r="C184" s="359" t="s">
        <v>657</v>
      </c>
      <c r="D184" s="360">
        <v>567122</v>
      </c>
      <c r="E184" s="360">
        <v>567121</v>
      </c>
      <c r="F184" s="360">
        <v>568181</v>
      </c>
      <c r="G184" s="360">
        <v>573693</v>
      </c>
      <c r="H184" s="360">
        <v>576800</v>
      </c>
    </row>
    <row r="185" spans="1:8" x14ac:dyDescent="0.2">
      <c r="A185" s="359" t="s">
        <v>658</v>
      </c>
      <c r="B185" s="359"/>
      <c r="C185" s="359" t="s">
        <v>659</v>
      </c>
      <c r="D185" s="360">
        <v>130011</v>
      </c>
      <c r="E185" s="360">
        <v>130009</v>
      </c>
      <c r="F185" s="360">
        <v>130039</v>
      </c>
      <c r="G185" s="360">
        <v>129830</v>
      </c>
      <c r="H185" s="360">
        <v>130450</v>
      </c>
    </row>
    <row r="186" spans="1:8" x14ac:dyDescent="0.2">
      <c r="A186" s="359" t="s">
        <v>660</v>
      </c>
      <c r="B186" s="359"/>
      <c r="C186" s="359" t="s">
        <v>661</v>
      </c>
      <c r="D186" s="360">
        <v>1345596</v>
      </c>
      <c r="E186" s="360">
        <v>1345596</v>
      </c>
      <c r="F186" s="360">
        <v>1349103</v>
      </c>
      <c r="G186" s="360">
        <v>1360998</v>
      </c>
      <c r="H186" s="360">
        <v>1377850</v>
      </c>
    </row>
    <row r="187" spans="1:8" x14ac:dyDescent="0.2">
      <c r="A187" s="359" t="s">
        <v>662</v>
      </c>
      <c r="B187" s="359"/>
      <c r="C187" s="359" t="s">
        <v>663</v>
      </c>
      <c r="D187" s="360">
        <v>177772</v>
      </c>
      <c r="E187" s="360">
        <v>177772</v>
      </c>
      <c r="F187" s="360">
        <v>179487</v>
      </c>
      <c r="G187" s="360">
        <v>177430</v>
      </c>
      <c r="H187" s="360">
        <v>183263</v>
      </c>
    </row>
    <row r="188" spans="1:8" x14ac:dyDescent="0.2">
      <c r="A188" s="359" t="s">
        <v>664</v>
      </c>
      <c r="B188" s="359"/>
      <c r="C188" s="359" t="s">
        <v>665</v>
      </c>
      <c r="D188" s="360">
        <v>160331</v>
      </c>
      <c r="E188" s="360">
        <v>160331</v>
      </c>
      <c r="F188" s="360">
        <v>160235</v>
      </c>
      <c r="G188" s="360">
        <v>160067</v>
      </c>
      <c r="H188" s="360">
        <v>160418</v>
      </c>
    </row>
    <row r="189" spans="1:8" x14ac:dyDescent="0.2">
      <c r="A189" s="359" t="s">
        <v>666</v>
      </c>
      <c r="B189" s="359"/>
      <c r="C189" s="359" t="s">
        <v>667</v>
      </c>
      <c r="D189" s="360">
        <v>149807</v>
      </c>
      <c r="E189" s="360">
        <v>149807</v>
      </c>
      <c r="F189" s="360">
        <v>149964</v>
      </c>
      <c r="G189" s="360">
        <v>150281</v>
      </c>
      <c r="H189" s="360">
        <v>150151</v>
      </c>
    </row>
    <row r="190" spans="1:8" x14ac:dyDescent="0.2">
      <c r="A190" s="359" t="s">
        <v>668</v>
      </c>
      <c r="B190" s="359"/>
      <c r="C190" s="359" t="s">
        <v>669</v>
      </c>
      <c r="D190" s="360">
        <v>198716</v>
      </c>
      <c r="E190" s="360">
        <v>198716</v>
      </c>
      <c r="F190" s="360">
        <v>198966</v>
      </c>
      <c r="G190" s="360">
        <v>199701</v>
      </c>
      <c r="H190" s="360">
        <v>200684</v>
      </c>
    </row>
    <row r="191" spans="1:8" x14ac:dyDescent="0.2">
      <c r="A191" s="359" t="s">
        <v>670</v>
      </c>
      <c r="B191" s="359"/>
      <c r="C191" s="359" t="s">
        <v>671</v>
      </c>
      <c r="D191" s="360">
        <v>143679</v>
      </c>
      <c r="E191" s="360">
        <v>143679</v>
      </c>
      <c r="F191" s="360">
        <v>143484</v>
      </c>
      <c r="G191" s="360">
        <v>142624</v>
      </c>
      <c r="H191" s="360">
        <v>141584</v>
      </c>
    </row>
    <row r="192" spans="1:8" x14ac:dyDescent="0.2">
      <c r="A192" s="359" t="s">
        <v>672</v>
      </c>
      <c r="B192" s="359"/>
      <c r="C192" s="359" t="s">
        <v>673</v>
      </c>
      <c r="D192" s="360">
        <v>121026</v>
      </c>
      <c r="E192" s="360">
        <v>121026</v>
      </c>
      <c r="F192" s="360">
        <v>121247</v>
      </c>
      <c r="G192" s="360">
        <v>122758</v>
      </c>
      <c r="H192" s="360">
        <v>124042</v>
      </c>
    </row>
    <row r="193" spans="1:8" x14ac:dyDescent="0.2">
      <c r="A193" s="359" t="s">
        <v>674</v>
      </c>
      <c r="B193" s="359"/>
      <c r="C193" s="359" t="s">
        <v>675</v>
      </c>
      <c r="D193" s="360">
        <v>175518</v>
      </c>
      <c r="E193" s="360">
        <v>175516</v>
      </c>
      <c r="F193" s="360">
        <v>175903</v>
      </c>
      <c r="G193" s="360">
        <v>176663</v>
      </c>
      <c r="H193" s="360">
        <v>174327</v>
      </c>
    </row>
    <row r="194" spans="1:8" x14ac:dyDescent="0.2">
      <c r="A194" s="359" t="s">
        <v>676</v>
      </c>
      <c r="B194" s="359"/>
      <c r="C194" s="359" t="s">
        <v>677</v>
      </c>
      <c r="D194" s="360">
        <v>154924</v>
      </c>
      <c r="E194" s="360">
        <v>154924</v>
      </c>
      <c r="F194" s="360">
        <v>155126</v>
      </c>
      <c r="G194" s="360">
        <v>156756</v>
      </c>
      <c r="H194" s="360">
        <v>158316</v>
      </c>
    </row>
    <row r="195" spans="1:8" x14ac:dyDescent="0.2">
      <c r="A195" s="359" t="s">
        <v>678</v>
      </c>
      <c r="B195" s="359"/>
      <c r="C195" s="359" t="s">
        <v>679</v>
      </c>
      <c r="D195" s="360">
        <v>326589</v>
      </c>
      <c r="E195" s="360">
        <v>326589</v>
      </c>
      <c r="F195" s="360">
        <v>326911</v>
      </c>
      <c r="G195" s="360">
        <v>328353</v>
      </c>
      <c r="H195" s="360">
        <v>330034</v>
      </c>
    </row>
    <row r="196" spans="1:8" x14ac:dyDescent="0.2">
      <c r="A196" s="359" t="s">
        <v>680</v>
      </c>
      <c r="B196" s="359"/>
      <c r="C196" s="359" t="s">
        <v>681</v>
      </c>
      <c r="D196" s="360">
        <v>113449</v>
      </c>
      <c r="E196" s="360">
        <v>113449</v>
      </c>
      <c r="F196" s="360">
        <v>113502</v>
      </c>
      <c r="G196" s="360">
        <v>113541</v>
      </c>
      <c r="H196" s="360">
        <v>113040</v>
      </c>
    </row>
    <row r="197" spans="1:8" x14ac:dyDescent="0.2">
      <c r="A197" s="359" t="s">
        <v>682</v>
      </c>
      <c r="B197" s="359"/>
      <c r="C197" s="359" t="s">
        <v>683</v>
      </c>
      <c r="D197" s="360">
        <v>2009342</v>
      </c>
      <c r="E197" s="360">
        <v>2009338</v>
      </c>
      <c r="F197" s="360">
        <v>2013864</v>
      </c>
      <c r="G197" s="360">
        <v>2024937</v>
      </c>
      <c r="H197" s="360">
        <v>2038724</v>
      </c>
    </row>
    <row r="198" spans="1:8" x14ac:dyDescent="0.2">
      <c r="A198" s="359" t="s">
        <v>684</v>
      </c>
      <c r="B198" s="359"/>
      <c r="C198" s="359" t="s">
        <v>685</v>
      </c>
      <c r="D198" s="360">
        <v>253340</v>
      </c>
      <c r="E198" s="360">
        <v>253340</v>
      </c>
      <c r="F198" s="360">
        <v>255626</v>
      </c>
      <c r="G198" s="360">
        <v>263703</v>
      </c>
      <c r="H198" s="360">
        <v>268243</v>
      </c>
    </row>
    <row r="199" spans="1:8" x14ac:dyDescent="0.2">
      <c r="A199" s="359" t="s">
        <v>686</v>
      </c>
      <c r="B199" s="359"/>
      <c r="C199" s="359" t="s">
        <v>687</v>
      </c>
      <c r="D199" s="360">
        <v>405300</v>
      </c>
      <c r="E199" s="360">
        <v>405300</v>
      </c>
      <c r="F199" s="360">
        <v>408221</v>
      </c>
      <c r="G199" s="360">
        <v>412390</v>
      </c>
      <c r="H199" s="360">
        <v>420375</v>
      </c>
    </row>
    <row r="200" spans="1:8" x14ac:dyDescent="0.2">
      <c r="A200" s="359" t="s">
        <v>688</v>
      </c>
      <c r="B200" s="359"/>
      <c r="C200" s="359" t="s">
        <v>689</v>
      </c>
      <c r="D200" s="360">
        <v>309544</v>
      </c>
      <c r="E200" s="360">
        <v>309544</v>
      </c>
      <c r="F200" s="360">
        <v>309547</v>
      </c>
      <c r="G200" s="360">
        <v>308579</v>
      </c>
      <c r="H200" s="360">
        <v>309006</v>
      </c>
    </row>
    <row r="201" spans="1:8" x14ac:dyDescent="0.2">
      <c r="A201" s="359" t="s">
        <v>690</v>
      </c>
      <c r="B201" s="359"/>
      <c r="C201" s="359" t="s">
        <v>691</v>
      </c>
      <c r="D201" s="360">
        <v>182493</v>
      </c>
      <c r="E201" s="360">
        <v>182494</v>
      </c>
      <c r="F201" s="360">
        <v>182395</v>
      </c>
      <c r="G201" s="360">
        <v>182582</v>
      </c>
      <c r="H201" s="360">
        <v>181791</v>
      </c>
    </row>
    <row r="202" spans="1:8" x14ac:dyDescent="0.2">
      <c r="A202" s="359" t="s">
        <v>692</v>
      </c>
      <c r="B202" s="359"/>
      <c r="C202" s="359" t="s">
        <v>693</v>
      </c>
      <c r="D202" s="360">
        <v>837571</v>
      </c>
      <c r="E202" s="360">
        <v>837571</v>
      </c>
      <c r="F202" s="360">
        <v>838745</v>
      </c>
      <c r="G202" s="360">
        <v>843189</v>
      </c>
      <c r="H202" s="360">
        <v>848350</v>
      </c>
    </row>
    <row r="203" spans="1:8" x14ac:dyDescent="0.2">
      <c r="A203" s="359" t="s">
        <v>694</v>
      </c>
      <c r="B203" s="359"/>
      <c r="C203" s="359" t="s">
        <v>695</v>
      </c>
      <c r="D203" s="360">
        <v>82752</v>
      </c>
      <c r="E203" s="360">
        <v>82752</v>
      </c>
      <c r="F203" s="360">
        <v>82730</v>
      </c>
      <c r="G203" s="360">
        <v>82817</v>
      </c>
      <c r="H203" s="360">
        <v>82849</v>
      </c>
    </row>
    <row r="204" spans="1:8" x14ac:dyDescent="0.2">
      <c r="A204" s="359" t="s">
        <v>696</v>
      </c>
      <c r="B204" s="359"/>
      <c r="C204" s="359" t="s">
        <v>697</v>
      </c>
      <c r="D204" s="360">
        <v>133665</v>
      </c>
      <c r="E204" s="360">
        <v>133665</v>
      </c>
      <c r="F204" s="360">
        <v>133891</v>
      </c>
      <c r="G204" s="360">
        <v>134415</v>
      </c>
      <c r="H204" s="360">
        <v>135298</v>
      </c>
    </row>
    <row r="205" spans="1:8" x14ac:dyDescent="0.2">
      <c r="A205" s="359" t="s">
        <v>698</v>
      </c>
      <c r="B205" s="359"/>
      <c r="C205" s="359" t="s">
        <v>699</v>
      </c>
      <c r="D205" s="360">
        <v>466750</v>
      </c>
      <c r="E205" s="360">
        <v>466750</v>
      </c>
      <c r="F205" s="360">
        <v>467416</v>
      </c>
      <c r="G205" s="360">
        <v>470682</v>
      </c>
      <c r="H205" s="360">
        <v>474415</v>
      </c>
    </row>
    <row r="206" spans="1:8" x14ac:dyDescent="0.2">
      <c r="A206" s="359" t="s">
        <v>700</v>
      </c>
      <c r="B206" s="359"/>
      <c r="C206" s="359" t="s">
        <v>701</v>
      </c>
      <c r="D206" s="360">
        <v>201789</v>
      </c>
      <c r="E206" s="360">
        <v>201789</v>
      </c>
      <c r="F206" s="360">
        <v>201952</v>
      </c>
      <c r="G206" s="360">
        <v>204098</v>
      </c>
      <c r="H206" s="360">
        <v>206412</v>
      </c>
    </row>
    <row r="207" spans="1:8" x14ac:dyDescent="0.2">
      <c r="A207" s="359" t="s">
        <v>702</v>
      </c>
      <c r="B207" s="359"/>
      <c r="C207" s="359" t="s">
        <v>703</v>
      </c>
      <c r="D207" s="360">
        <v>199607</v>
      </c>
      <c r="E207" s="360">
        <v>199607</v>
      </c>
      <c r="F207" s="360">
        <v>200050</v>
      </c>
      <c r="G207" s="360">
        <v>200589</v>
      </c>
      <c r="H207" s="360">
        <v>201195</v>
      </c>
    </row>
    <row r="208" spans="1:8" x14ac:dyDescent="0.2">
      <c r="A208" s="359" t="s">
        <v>704</v>
      </c>
      <c r="B208" s="359"/>
      <c r="C208" s="359" t="s">
        <v>705</v>
      </c>
      <c r="D208" s="360">
        <v>200186</v>
      </c>
      <c r="E208" s="360">
        <v>200186</v>
      </c>
      <c r="F208" s="360">
        <v>200380</v>
      </c>
      <c r="G208" s="360">
        <v>202592</v>
      </c>
      <c r="H208" s="360">
        <v>203334</v>
      </c>
    </row>
    <row r="209" spans="1:8" x14ac:dyDescent="0.2">
      <c r="A209" s="359" t="s">
        <v>706</v>
      </c>
      <c r="B209" s="359"/>
      <c r="C209" s="359" t="s">
        <v>707</v>
      </c>
      <c r="D209" s="360">
        <v>602095</v>
      </c>
      <c r="E209" s="360">
        <v>602095</v>
      </c>
      <c r="F209" s="360">
        <v>603343</v>
      </c>
      <c r="G209" s="360">
        <v>609823</v>
      </c>
      <c r="H209" s="360">
        <v>616158</v>
      </c>
    </row>
    <row r="210" spans="1:8" x14ac:dyDescent="0.2">
      <c r="A210" s="359" t="s">
        <v>708</v>
      </c>
      <c r="B210" s="359"/>
      <c r="C210" s="359" t="s">
        <v>709</v>
      </c>
      <c r="D210" s="360">
        <v>519445</v>
      </c>
      <c r="E210" s="360">
        <v>519448</v>
      </c>
      <c r="F210" s="360">
        <v>520344</v>
      </c>
      <c r="G210" s="360">
        <v>523862</v>
      </c>
      <c r="H210" s="360">
        <v>526823</v>
      </c>
    </row>
    <row r="211" spans="1:8" x14ac:dyDescent="0.2">
      <c r="A211" s="359" t="s">
        <v>710</v>
      </c>
      <c r="B211" s="359"/>
      <c r="C211" s="359" t="s">
        <v>711</v>
      </c>
      <c r="D211" s="360">
        <v>464036</v>
      </c>
      <c r="E211" s="360">
        <v>464036</v>
      </c>
      <c r="F211" s="360">
        <v>464160</v>
      </c>
      <c r="G211" s="360">
        <v>465614</v>
      </c>
      <c r="H211" s="360">
        <v>465732</v>
      </c>
    </row>
    <row r="212" spans="1:8" x14ac:dyDescent="0.2">
      <c r="A212" s="359" t="s">
        <v>712</v>
      </c>
      <c r="B212" s="359"/>
      <c r="C212" s="359" t="s">
        <v>713</v>
      </c>
      <c r="D212" s="360">
        <v>250304</v>
      </c>
      <c r="E212" s="360">
        <v>250304</v>
      </c>
      <c r="F212" s="360">
        <v>251284</v>
      </c>
      <c r="G212" s="360">
        <v>254948</v>
      </c>
      <c r="H212" s="360">
        <v>259172</v>
      </c>
    </row>
    <row r="213" spans="1:8" x14ac:dyDescent="0.2">
      <c r="A213" s="359" t="s">
        <v>714</v>
      </c>
      <c r="B213" s="359"/>
      <c r="C213" s="359" t="s">
        <v>715</v>
      </c>
      <c r="D213" s="360">
        <v>209233</v>
      </c>
      <c r="E213" s="360">
        <v>209234</v>
      </c>
      <c r="F213" s="360">
        <v>210325</v>
      </c>
      <c r="G213" s="360">
        <v>212944</v>
      </c>
      <c r="H213" s="360">
        <v>214445</v>
      </c>
    </row>
    <row r="214" spans="1:8" x14ac:dyDescent="0.2">
      <c r="A214" s="359" t="s">
        <v>716</v>
      </c>
      <c r="B214" s="359"/>
      <c r="C214" s="359" t="s">
        <v>717</v>
      </c>
      <c r="D214" s="360">
        <v>1951269</v>
      </c>
      <c r="E214" s="360">
        <v>1951269</v>
      </c>
      <c r="F214" s="360">
        <v>1953422</v>
      </c>
      <c r="G214" s="360">
        <v>1967926</v>
      </c>
      <c r="H214" s="360">
        <v>2000759</v>
      </c>
    </row>
    <row r="215" spans="1:8" x14ac:dyDescent="0.2">
      <c r="A215" s="359" t="s">
        <v>718</v>
      </c>
      <c r="B215" s="359"/>
      <c r="C215" s="359" t="s">
        <v>719</v>
      </c>
      <c r="D215" s="360">
        <v>110826</v>
      </c>
      <c r="E215" s="360">
        <v>110826</v>
      </c>
      <c r="F215" s="360">
        <v>111208</v>
      </c>
      <c r="G215" s="360">
        <v>112244</v>
      </c>
      <c r="H215" s="360">
        <v>112864</v>
      </c>
    </row>
    <row r="216" spans="1:8" x14ac:dyDescent="0.2">
      <c r="A216" s="359" t="s">
        <v>720</v>
      </c>
      <c r="B216" s="359"/>
      <c r="C216" s="359" t="s">
        <v>721</v>
      </c>
      <c r="D216" s="360">
        <v>130291</v>
      </c>
      <c r="E216" s="360">
        <v>130291</v>
      </c>
      <c r="F216" s="360">
        <v>131588</v>
      </c>
      <c r="G216" s="360">
        <v>131927</v>
      </c>
      <c r="H216" s="360">
        <v>132545</v>
      </c>
    </row>
    <row r="217" spans="1:8" x14ac:dyDescent="0.2">
      <c r="A217" s="359" t="s">
        <v>722</v>
      </c>
      <c r="B217" s="359"/>
      <c r="C217" s="359" t="s">
        <v>723</v>
      </c>
      <c r="D217" s="360">
        <v>133568</v>
      </c>
      <c r="E217" s="360">
        <v>133573</v>
      </c>
      <c r="F217" s="360">
        <v>133717</v>
      </c>
      <c r="G217" s="360">
        <v>134389</v>
      </c>
      <c r="H217" s="360">
        <v>135251</v>
      </c>
    </row>
    <row r="218" spans="1:8" x14ac:dyDescent="0.2">
      <c r="A218" s="359" t="s">
        <v>724</v>
      </c>
      <c r="B218" s="359"/>
      <c r="C218" s="359" t="s">
        <v>725</v>
      </c>
      <c r="D218" s="360">
        <v>60888</v>
      </c>
      <c r="E218" s="360">
        <v>60888</v>
      </c>
      <c r="F218" s="360">
        <v>61009</v>
      </c>
      <c r="G218" s="360">
        <v>61327</v>
      </c>
      <c r="H218" s="360">
        <v>61419</v>
      </c>
    </row>
    <row r="219" spans="1:8" x14ac:dyDescent="0.2">
      <c r="A219" s="359" t="s">
        <v>726</v>
      </c>
      <c r="B219" s="359"/>
      <c r="C219" s="359" t="s">
        <v>727</v>
      </c>
      <c r="D219" s="360">
        <v>107702</v>
      </c>
      <c r="E219" s="360">
        <v>107702</v>
      </c>
      <c r="F219" s="360">
        <v>107678</v>
      </c>
      <c r="G219" s="360">
        <v>107427</v>
      </c>
      <c r="H219" s="360">
        <v>107609</v>
      </c>
    </row>
    <row r="220" spans="1:8" x14ac:dyDescent="0.2">
      <c r="A220" s="359" t="s">
        <v>728</v>
      </c>
      <c r="B220" s="359"/>
      <c r="C220" s="359" t="s">
        <v>729</v>
      </c>
      <c r="D220" s="360">
        <v>472099</v>
      </c>
      <c r="E220" s="360">
        <v>472099</v>
      </c>
      <c r="F220" s="360">
        <v>473468</v>
      </c>
      <c r="G220" s="360">
        <v>478935</v>
      </c>
      <c r="H220" s="360">
        <v>485023</v>
      </c>
    </row>
    <row r="221" spans="1:8" x14ac:dyDescent="0.2">
      <c r="A221" s="359" t="s">
        <v>730</v>
      </c>
      <c r="B221" s="359"/>
      <c r="C221" s="359" t="s">
        <v>731</v>
      </c>
      <c r="D221" s="360">
        <v>106331</v>
      </c>
      <c r="E221" s="360">
        <v>106331</v>
      </c>
      <c r="F221" s="360">
        <v>106222</v>
      </c>
      <c r="G221" s="360">
        <v>105740</v>
      </c>
      <c r="H221" s="360">
        <v>105141</v>
      </c>
    </row>
    <row r="222" spans="1:8" x14ac:dyDescent="0.2">
      <c r="A222" s="359" t="s">
        <v>732</v>
      </c>
      <c r="B222" s="359"/>
      <c r="C222" s="359" t="s">
        <v>733</v>
      </c>
      <c r="D222" s="360">
        <v>302157</v>
      </c>
      <c r="E222" s="360">
        <v>302157</v>
      </c>
      <c r="F222" s="360">
        <v>302957</v>
      </c>
      <c r="G222" s="360">
        <v>306580</v>
      </c>
      <c r="H222" s="360">
        <v>310342</v>
      </c>
    </row>
    <row r="223" spans="1:8" x14ac:dyDescent="0.2">
      <c r="A223" s="359" t="s">
        <v>734</v>
      </c>
      <c r="B223" s="359"/>
      <c r="C223" s="359" t="s">
        <v>735</v>
      </c>
      <c r="D223" s="360">
        <v>699757</v>
      </c>
      <c r="E223" s="360">
        <v>699757</v>
      </c>
      <c r="F223" s="360">
        <v>702350</v>
      </c>
      <c r="G223" s="360">
        <v>710950</v>
      </c>
      <c r="H223" s="360">
        <v>717666</v>
      </c>
    </row>
    <row r="224" spans="1:8" x14ac:dyDescent="0.2">
      <c r="A224" s="359" t="s">
        <v>736</v>
      </c>
      <c r="B224" s="359"/>
      <c r="C224" s="359" t="s">
        <v>737</v>
      </c>
      <c r="D224" s="360">
        <v>125442</v>
      </c>
      <c r="E224" s="360">
        <v>125442</v>
      </c>
      <c r="F224" s="360">
        <v>126070</v>
      </c>
      <c r="G224" s="360">
        <v>127356</v>
      </c>
      <c r="H224" s="360">
        <v>128306</v>
      </c>
    </row>
    <row r="225" spans="1:8" x14ac:dyDescent="0.2">
      <c r="A225" s="359" t="s">
        <v>738</v>
      </c>
      <c r="B225" s="359"/>
      <c r="C225" s="359" t="s">
        <v>739</v>
      </c>
      <c r="D225" s="360">
        <v>214369</v>
      </c>
      <c r="E225" s="360">
        <v>214378</v>
      </c>
      <c r="F225" s="360">
        <v>214586</v>
      </c>
      <c r="G225" s="360">
        <v>215798</v>
      </c>
      <c r="H225" s="360">
        <v>216679</v>
      </c>
    </row>
    <row r="226" spans="1:8" x14ac:dyDescent="0.2">
      <c r="A226" s="359" t="s">
        <v>740</v>
      </c>
      <c r="B226" s="359"/>
      <c r="C226" s="359" t="s">
        <v>741</v>
      </c>
      <c r="D226" s="360">
        <v>102410</v>
      </c>
      <c r="E226" s="360">
        <v>102410</v>
      </c>
      <c r="F226" s="360">
        <v>102447</v>
      </c>
      <c r="G226" s="360">
        <v>102431</v>
      </c>
      <c r="H226" s="360">
        <v>101996</v>
      </c>
    </row>
    <row r="227" spans="1:8" x14ac:dyDescent="0.2">
      <c r="A227" s="359" t="s">
        <v>742</v>
      </c>
      <c r="B227" s="359"/>
      <c r="C227" s="359" t="s">
        <v>743</v>
      </c>
      <c r="D227" s="360">
        <v>12828837</v>
      </c>
      <c r="E227" s="360">
        <v>12828842</v>
      </c>
      <c r="F227" s="360">
        <v>12843942</v>
      </c>
      <c r="G227" s="360">
        <v>12945140</v>
      </c>
      <c r="H227" s="360">
        <v>13052921</v>
      </c>
    </row>
    <row r="228" spans="1:8" x14ac:dyDescent="0.2">
      <c r="A228" s="359" t="s">
        <v>742</v>
      </c>
      <c r="B228" s="359" t="s">
        <v>744</v>
      </c>
      <c r="C228" s="361" t="s">
        <v>745</v>
      </c>
      <c r="D228" s="360">
        <v>3010232</v>
      </c>
      <c r="E228" s="360">
        <v>3010237</v>
      </c>
      <c r="F228" s="360">
        <v>3018181</v>
      </c>
      <c r="G228" s="360">
        <v>3056115</v>
      </c>
      <c r="H228" s="360">
        <v>3090132</v>
      </c>
    </row>
    <row r="229" spans="1:8" x14ac:dyDescent="0.2">
      <c r="A229" s="359" t="s">
        <v>742</v>
      </c>
      <c r="B229" s="359" t="s">
        <v>746</v>
      </c>
      <c r="C229" s="361" t="s">
        <v>747</v>
      </c>
      <c r="D229" s="360">
        <v>9818605</v>
      </c>
      <c r="E229" s="360">
        <v>9818605</v>
      </c>
      <c r="F229" s="360">
        <v>9825761</v>
      </c>
      <c r="G229" s="360">
        <v>9889025</v>
      </c>
      <c r="H229" s="360">
        <v>9962789</v>
      </c>
    </row>
    <row r="230" spans="1:8" x14ac:dyDescent="0.2">
      <c r="A230" s="359" t="s">
        <v>748</v>
      </c>
      <c r="B230" s="359"/>
      <c r="C230" s="359" t="s">
        <v>749</v>
      </c>
      <c r="D230" s="360">
        <v>1235708</v>
      </c>
      <c r="E230" s="360">
        <v>1235708</v>
      </c>
      <c r="F230" s="360">
        <v>1237847</v>
      </c>
      <c r="G230" s="360">
        <v>1244792</v>
      </c>
      <c r="H230" s="360">
        <v>1251351</v>
      </c>
    </row>
    <row r="231" spans="1:8" x14ac:dyDescent="0.2">
      <c r="A231" s="359" t="s">
        <v>750</v>
      </c>
      <c r="B231" s="359"/>
      <c r="C231" s="359" t="s">
        <v>751</v>
      </c>
      <c r="D231" s="360">
        <v>290805</v>
      </c>
      <c r="E231" s="360">
        <v>290805</v>
      </c>
      <c r="F231" s="360">
        <v>292142</v>
      </c>
      <c r="G231" s="360">
        <v>295255</v>
      </c>
      <c r="H231" s="360">
        <v>297669</v>
      </c>
    </row>
    <row r="232" spans="1:8" x14ac:dyDescent="0.2">
      <c r="A232" s="359" t="s">
        <v>752</v>
      </c>
      <c r="B232" s="359"/>
      <c r="C232" s="359" t="s">
        <v>753</v>
      </c>
      <c r="D232" s="360">
        <v>252634</v>
      </c>
      <c r="E232" s="360">
        <v>252638</v>
      </c>
      <c r="F232" s="360">
        <v>252689</v>
      </c>
      <c r="G232" s="360">
        <v>254031</v>
      </c>
      <c r="H232" s="360">
        <v>255342</v>
      </c>
    </row>
    <row r="233" spans="1:8" x14ac:dyDescent="0.2">
      <c r="A233" s="359" t="s">
        <v>754</v>
      </c>
      <c r="B233" s="359"/>
      <c r="C233" s="359" t="s">
        <v>755</v>
      </c>
      <c r="D233" s="360">
        <v>232293</v>
      </c>
      <c r="E233" s="360">
        <v>232293</v>
      </c>
      <c r="F233" s="360">
        <v>232342</v>
      </c>
      <c r="G233" s="360">
        <v>232849</v>
      </c>
      <c r="H233" s="360">
        <v>232723</v>
      </c>
    </row>
    <row r="234" spans="1:8" x14ac:dyDescent="0.2">
      <c r="A234" s="359" t="s">
        <v>756</v>
      </c>
      <c r="B234" s="359"/>
      <c r="C234" s="359" t="s">
        <v>757</v>
      </c>
      <c r="D234" s="360">
        <v>150865</v>
      </c>
      <c r="E234" s="360">
        <v>150865</v>
      </c>
      <c r="F234" s="360">
        <v>151177</v>
      </c>
      <c r="G234" s="360">
        <v>152085</v>
      </c>
      <c r="H234" s="360">
        <v>152218</v>
      </c>
    </row>
    <row r="235" spans="1:8" x14ac:dyDescent="0.2">
      <c r="A235" s="359" t="s">
        <v>758</v>
      </c>
      <c r="B235" s="359"/>
      <c r="C235" s="359" t="s">
        <v>759</v>
      </c>
      <c r="D235" s="360">
        <v>605435</v>
      </c>
      <c r="E235" s="360">
        <v>605435</v>
      </c>
      <c r="F235" s="360">
        <v>606546</v>
      </c>
      <c r="G235" s="360">
        <v>613943</v>
      </c>
      <c r="H235" s="360">
        <v>620778</v>
      </c>
    </row>
    <row r="236" spans="1:8" x14ac:dyDescent="0.2">
      <c r="A236" s="359" t="s">
        <v>760</v>
      </c>
      <c r="B236" s="359"/>
      <c r="C236" s="359" t="s">
        <v>761</v>
      </c>
      <c r="D236" s="360">
        <v>400721</v>
      </c>
      <c r="E236" s="360">
        <v>400721</v>
      </c>
      <c r="F236" s="360">
        <v>401036</v>
      </c>
      <c r="G236" s="360">
        <v>401842</v>
      </c>
      <c r="H236" s="360">
        <v>402922</v>
      </c>
    </row>
    <row r="237" spans="1:8" x14ac:dyDescent="0.2">
      <c r="A237" s="359" t="s">
        <v>762</v>
      </c>
      <c r="B237" s="359"/>
      <c r="C237" s="359" t="s">
        <v>763</v>
      </c>
      <c r="D237" s="360">
        <v>92719</v>
      </c>
      <c r="E237" s="360">
        <v>92719</v>
      </c>
      <c r="F237" s="360">
        <v>93245</v>
      </c>
      <c r="G237" s="360">
        <v>95150</v>
      </c>
      <c r="H237" s="360">
        <v>97810</v>
      </c>
    </row>
    <row r="238" spans="1:8" x14ac:dyDescent="0.2">
      <c r="A238" s="359" t="s">
        <v>764</v>
      </c>
      <c r="B238" s="359"/>
      <c r="C238" s="359" t="s">
        <v>765</v>
      </c>
      <c r="D238" s="360">
        <v>96740</v>
      </c>
      <c r="E238" s="360">
        <v>96740</v>
      </c>
      <c r="F238" s="360">
        <v>96812</v>
      </c>
      <c r="G238" s="360">
        <v>97335</v>
      </c>
      <c r="H238" s="360">
        <v>98020</v>
      </c>
    </row>
    <row r="239" spans="1:8" x14ac:dyDescent="0.2">
      <c r="A239" s="359" t="s">
        <v>766</v>
      </c>
      <c r="B239" s="359"/>
      <c r="C239" s="359" t="s">
        <v>767</v>
      </c>
      <c r="D239" s="360">
        <v>124475</v>
      </c>
      <c r="E239" s="360">
        <v>124475</v>
      </c>
      <c r="F239" s="360">
        <v>124195</v>
      </c>
      <c r="G239" s="360">
        <v>123125</v>
      </c>
      <c r="H239" s="360">
        <v>122673</v>
      </c>
    </row>
    <row r="240" spans="1:8" x14ac:dyDescent="0.2">
      <c r="A240" s="359" t="s">
        <v>768</v>
      </c>
      <c r="B240" s="359"/>
      <c r="C240" s="359" t="s">
        <v>769</v>
      </c>
      <c r="D240" s="360">
        <v>774769</v>
      </c>
      <c r="E240" s="360">
        <v>774769</v>
      </c>
      <c r="F240" s="360">
        <v>779203</v>
      </c>
      <c r="G240" s="360">
        <v>794181</v>
      </c>
      <c r="H240" s="360">
        <v>806552</v>
      </c>
    </row>
    <row r="241" spans="1:8" x14ac:dyDescent="0.2">
      <c r="A241" s="359" t="s">
        <v>770</v>
      </c>
      <c r="B241" s="359"/>
      <c r="C241" s="359" t="s">
        <v>771</v>
      </c>
      <c r="D241" s="360">
        <v>203206</v>
      </c>
      <c r="E241" s="360">
        <v>203206</v>
      </c>
      <c r="F241" s="360">
        <v>203474</v>
      </c>
      <c r="G241" s="360">
        <v>204718</v>
      </c>
      <c r="H241" s="360">
        <v>206412</v>
      </c>
    </row>
    <row r="242" spans="1:8" x14ac:dyDescent="0.2">
      <c r="A242" s="359" t="s">
        <v>772</v>
      </c>
      <c r="B242" s="359"/>
      <c r="C242" s="359" t="s">
        <v>773</v>
      </c>
      <c r="D242" s="360">
        <v>1324829</v>
      </c>
      <c r="E242" s="360">
        <v>1324829</v>
      </c>
      <c r="F242" s="360">
        <v>1326570</v>
      </c>
      <c r="G242" s="360">
        <v>1333390</v>
      </c>
      <c r="H242" s="360">
        <v>1341690</v>
      </c>
    </row>
    <row r="243" spans="1:8" x14ac:dyDescent="0.2">
      <c r="A243" s="359" t="s">
        <v>774</v>
      </c>
      <c r="B243" s="359"/>
      <c r="C243" s="359" t="s">
        <v>775</v>
      </c>
      <c r="D243" s="360">
        <v>255793</v>
      </c>
      <c r="E243" s="360">
        <v>255793</v>
      </c>
      <c r="F243" s="360">
        <v>256877</v>
      </c>
      <c r="G243" s="360">
        <v>259966</v>
      </c>
      <c r="H243" s="360">
        <v>262305</v>
      </c>
    </row>
    <row r="244" spans="1:8" x14ac:dyDescent="0.2">
      <c r="A244" s="359" t="s">
        <v>776</v>
      </c>
      <c r="B244" s="359"/>
      <c r="C244" s="359" t="s">
        <v>777</v>
      </c>
      <c r="D244" s="360">
        <v>5564635</v>
      </c>
      <c r="E244" s="360">
        <v>5564657</v>
      </c>
      <c r="F244" s="360">
        <v>5581600</v>
      </c>
      <c r="G244" s="360">
        <v>5687908</v>
      </c>
      <c r="H244" s="360">
        <v>5762717</v>
      </c>
    </row>
    <row r="245" spans="1:8" x14ac:dyDescent="0.2">
      <c r="A245" s="359" t="s">
        <v>776</v>
      </c>
      <c r="B245" s="359" t="s">
        <v>778</v>
      </c>
      <c r="C245" s="361" t="s">
        <v>779</v>
      </c>
      <c r="D245" s="360">
        <v>1748066</v>
      </c>
      <c r="E245" s="360">
        <v>1748066</v>
      </c>
      <c r="F245" s="360">
        <v>1752928</v>
      </c>
      <c r="G245" s="360">
        <v>1784956</v>
      </c>
      <c r="H245" s="360">
        <v>1815137</v>
      </c>
    </row>
    <row r="246" spans="1:8" x14ac:dyDescent="0.2">
      <c r="A246" s="359" t="s">
        <v>776</v>
      </c>
      <c r="B246" s="359" t="s">
        <v>780</v>
      </c>
      <c r="C246" s="361" t="s">
        <v>781</v>
      </c>
      <c r="D246" s="360">
        <v>2496435</v>
      </c>
      <c r="E246" s="360">
        <v>2496457</v>
      </c>
      <c r="F246" s="360">
        <v>2504614</v>
      </c>
      <c r="G246" s="360">
        <v>2565440</v>
      </c>
      <c r="H246" s="360">
        <v>2591035</v>
      </c>
    </row>
    <row r="247" spans="1:8" x14ac:dyDescent="0.2">
      <c r="A247" s="359" t="s">
        <v>776</v>
      </c>
      <c r="B247" s="359" t="s">
        <v>782</v>
      </c>
      <c r="C247" s="361" t="s">
        <v>783</v>
      </c>
      <c r="D247" s="360">
        <v>1320134</v>
      </c>
      <c r="E247" s="360">
        <v>1320134</v>
      </c>
      <c r="F247" s="360">
        <v>1324058</v>
      </c>
      <c r="G247" s="360">
        <v>1337512</v>
      </c>
      <c r="H247" s="360">
        <v>1356545</v>
      </c>
    </row>
    <row r="248" spans="1:8" x14ac:dyDescent="0.2">
      <c r="A248" s="359" t="s">
        <v>784</v>
      </c>
      <c r="B248" s="359"/>
      <c r="C248" s="359" t="s">
        <v>785</v>
      </c>
      <c r="D248" s="360">
        <v>111467</v>
      </c>
      <c r="E248" s="360">
        <v>111467</v>
      </c>
      <c r="F248" s="360">
        <v>111432</v>
      </c>
      <c r="G248" s="360">
        <v>111263</v>
      </c>
      <c r="H248" s="360">
        <v>111246</v>
      </c>
    </row>
    <row r="249" spans="1:8" x14ac:dyDescent="0.2">
      <c r="A249" s="359" t="s">
        <v>786</v>
      </c>
      <c r="B249" s="359"/>
      <c r="C249" s="359" t="s">
        <v>787</v>
      </c>
      <c r="D249" s="360">
        <v>83629</v>
      </c>
      <c r="E249" s="360">
        <v>83629</v>
      </c>
      <c r="F249" s="360">
        <v>83637</v>
      </c>
      <c r="G249" s="360">
        <v>84015</v>
      </c>
      <c r="H249" s="360">
        <v>83822</v>
      </c>
    </row>
    <row r="250" spans="1:8" x14ac:dyDescent="0.2">
      <c r="A250" s="359" t="s">
        <v>788</v>
      </c>
      <c r="B250" s="359"/>
      <c r="C250" s="359" t="s">
        <v>789</v>
      </c>
      <c r="D250" s="360">
        <v>141671</v>
      </c>
      <c r="E250" s="360">
        <v>141671</v>
      </c>
      <c r="F250" s="360">
        <v>141757</v>
      </c>
      <c r="G250" s="360">
        <v>144953</v>
      </c>
      <c r="H250" s="360">
        <v>151662</v>
      </c>
    </row>
    <row r="251" spans="1:8" x14ac:dyDescent="0.2">
      <c r="A251" s="359" t="s">
        <v>790</v>
      </c>
      <c r="B251" s="359"/>
      <c r="C251" s="359" t="s">
        <v>791</v>
      </c>
      <c r="D251" s="360">
        <v>1555908</v>
      </c>
      <c r="E251" s="360">
        <v>1555908</v>
      </c>
      <c r="F251" s="360">
        <v>1556711</v>
      </c>
      <c r="G251" s="360">
        <v>1561428</v>
      </c>
      <c r="H251" s="360">
        <v>1566981</v>
      </c>
    </row>
    <row r="252" spans="1:8" x14ac:dyDescent="0.2">
      <c r="A252" s="359" t="s">
        <v>792</v>
      </c>
      <c r="B252" s="359"/>
      <c r="C252" s="359" t="s">
        <v>793</v>
      </c>
      <c r="D252" s="360">
        <v>3348859</v>
      </c>
      <c r="E252" s="360">
        <v>3348859</v>
      </c>
      <c r="F252" s="360">
        <v>3355674</v>
      </c>
      <c r="G252" s="360">
        <v>3389049</v>
      </c>
      <c r="H252" s="360">
        <v>3422264</v>
      </c>
    </row>
    <row r="253" spans="1:8" x14ac:dyDescent="0.2">
      <c r="A253" s="359" t="s">
        <v>794</v>
      </c>
      <c r="B253" s="359"/>
      <c r="C253" s="359" t="s">
        <v>795</v>
      </c>
      <c r="D253" s="360">
        <v>109299</v>
      </c>
      <c r="E253" s="360">
        <v>109299</v>
      </c>
      <c r="F253" s="360">
        <v>109457</v>
      </c>
      <c r="G253" s="360">
        <v>110114</v>
      </c>
      <c r="H253" s="360">
        <v>110977</v>
      </c>
    </row>
    <row r="254" spans="1:8" x14ac:dyDescent="0.2">
      <c r="A254" s="359" t="s">
        <v>796</v>
      </c>
      <c r="B254" s="359"/>
      <c r="C254" s="359" t="s">
        <v>797</v>
      </c>
      <c r="D254" s="360">
        <v>412992</v>
      </c>
      <c r="E254" s="360">
        <v>412992</v>
      </c>
      <c r="F254" s="360">
        <v>413216</v>
      </c>
      <c r="G254" s="360">
        <v>413145</v>
      </c>
      <c r="H254" s="360">
        <v>413936</v>
      </c>
    </row>
    <row r="255" spans="1:8" x14ac:dyDescent="0.2">
      <c r="A255" s="359" t="s">
        <v>798</v>
      </c>
      <c r="B255" s="359"/>
      <c r="C255" s="359" t="s">
        <v>799</v>
      </c>
      <c r="D255" s="360">
        <v>514453</v>
      </c>
      <c r="E255" s="360">
        <v>514451</v>
      </c>
      <c r="F255" s="360">
        <v>515326</v>
      </c>
      <c r="G255" s="360">
        <v>517957</v>
      </c>
      <c r="H255" s="360">
        <v>521726</v>
      </c>
    </row>
    <row r="256" spans="1:8" x14ac:dyDescent="0.2">
      <c r="A256" s="359" t="s">
        <v>800</v>
      </c>
      <c r="B256" s="359"/>
      <c r="C256" s="359" t="s">
        <v>801</v>
      </c>
      <c r="D256" s="360">
        <v>176441</v>
      </c>
      <c r="E256" s="360">
        <v>176441</v>
      </c>
      <c r="F256" s="360">
        <v>176673</v>
      </c>
      <c r="G256" s="360">
        <v>177379</v>
      </c>
      <c r="H256" s="360">
        <v>177782</v>
      </c>
    </row>
    <row r="257" spans="1:10" x14ac:dyDescent="0.2">
      <c r="A257" s="359" t="s">
        <v>802</v>
      </c>
      <c r="B257" s="359"/>
      <c r="C257" s="359" t="s">
        <v>803</v>
      </c>
      <c r="D257" s="360">
        <v>152021</v>
      </c>
      <c r="E257" s="360">
        <v>152021</v>
      </c>
      <c r="F257" s="360">
        <v>151960</v>
      </c>
      <c r="G257" s="360">
        <v>151609</v>
      </c>
      <c r="H257" s="360">
        <v>151048</v>
      </c>
    </row>
    <row r="258" spans="1:10" x14ac:dyDescent="0.2">
      <c r="A258" s="359" t="s">
        <v>804</v>
      </c>
      <c r="B258" s="359"/>
      <c r="C258" s="359" t="s">
        <v>805</v>
      </c>
      <c r="D258" s="360">
        <v>374536</v>
      </c>
      <c r="E258" s="360">
        <v>374529</v>
      </c>
      <c r="F258" s="360">
        <v>375183</v>
      </c>
      <c r="G258" s="360">
        <v>378562</v>
      </c>
      <c r="H258" s="360">
        <v>377149</v>
      </c>
    </row>
    <row r="259" spans="1:10" x14ac:dyDescent="0.2">
      <c r="A259" s="359" t="s">
        <v>806</v>
      </c>
      <c r="B259" s="359"/>
      <c r="C259" s="359" t="s">
        <v>807</v>
      </c>
      <c r="D259" s="360">
        <v>129709</v>
      </c>
      <c r="E259" s="360">
        <v>129709</v>
      </c>
      <c r="F259" s="360">
        <v>130308</v>
      </c>
      <c r="G259" s="360">
        <v>132201</v>
      </c>
      <c r="H259" s="360">
        <v>134164</v>
      </c>
    </row>
    <row r="260" spans="1:10" x14ac:dyDescent="0.2">
      <c r="A260" s="359" t="s">
        <v>808</v>
      </c>
      <c r="B260" s="359"/>
      <c r="C260" s="359" t="s">
        <v>809</v>
      </c>
      <c r="D260" s="360">
        <v>113951</v>
      </c>
      <c r="E260" s="360">
        <v>113953</v>
      </c>
      <c r="F260" s="360">
        <v>114049</v>
      </c>
      <c r="G260" s="360">
        <v>114623</v>
      </c>
      <c r="H260" s="360">
        <v>114937</v>
      </c>
    </row>
    <row r="261" spans="1:10" x14ac:dyDescent="0.2">
      <c r="A261" s="359" t="s">
        <v>810</v>
      </c>
      <c r="B261" s="359"/>
      <c r="C261" s="359" t="s">
        <v>811</v>
      </c>
      <c r="D261" s="360">
        <v>116901</v>
      </c>
      <c r="E261" s="360">
        <v>116901</v>
      </c>
      <c r="F261" s="360">
        <v>117014</v>
      </c>
      <c r="G261" s="360">
        <v>117836</v>
      </c>
      <c r="H261" s="360">
        <v>118222</v>
      </c>
    </row>
    <row r="262" spans="1:10" x14ac:dyDescent="0.2">
      <c r="A262" s="359" t="s">
        <v>812</v>
      </c>
      <c r="B262" s="359"/>
      <c r="C262" s="359" t="s">
        <v>813</v>
      </c>
      <c r="D262" s="360">
        <v>117671</v>
      </c>
      <c r="E262" s="360">
        <v>117671</v>
      </c>
      <c r="F262" s="360">
        <v>117649</v>
      </c>
      <c r="G262" s="360">
        <v>117784</v>
      </c>
      <c r="H262" s="360">
        <v>117364</v>
      </c>
    </row>
    <row r="263" spans="1:10" x14ac:dyDescent="0.2">
      <c r="A263" s="359" t="s">
        <v>814</v>
      </c>
      <c r="B263" s="359"/>
      <c r="C263" s="359" t="s">
        <v>815</v>
      </c>
      <c r="D263" s="360">
        <v>172188</v>
      </c>
      <c r="E263" s="360">
        <v>172188</v>
      </c>
      <c r="F263" s="360">
        <v>171969</v>
      </c>
      <c r="G263" s="360">
        <v>170021</v>
      </c>
      <c r="H263" s="360">
        <v>170182</v>
      </c>
    </row>
    <row r="264" spans="1:10" x14ac:dyDescent="0.2">
      <c r="A264" s="359" t="s">
        <v>816</v>
      </c>
      <c r="B264" s="359"/>
      <c r="C264" s="359" t="s">
        <v>817</v>
      </c>
      <c r="D264" s="360">
        <v>376722</v>
      </c>
      <c r="E264" s="360">
        <v>376722</v>
      </c>
      <c r="F264" s="360">
        <v>378604</v>
      </c>
      <c r="G264" s="360">
        <v>385910</v>
      </c>
      <c r="H264" s="360">
        <v>394542</v>
      </c>
    </row>
    <row r="265" spans="1:10" x14ac:dyDescent="0.2">
      <c r="A265" s="359" t="s">
        <v>818</v>
      </c>
      <c r="B265" s="359"/>
      <c r="C265" s="359" t="s">
        <v>819</v>
      </c>
      <c r="D265" s="360">
        <v>136484</v>
      </c>
      <c r="E265" s="360">
        <v>136484</v>
      </c>
      <c r="F265" s="360">
        <v>136824</v>
      </c>
      <c r="G265" s="360">
        <v>137977</v>
      </c>
      <c r="H265" s="360">
        <v>139045</v>
      </c>
    </row>
    <row r="266" spans="1:10" x14ac:dyDescent="0.2">
      <c r="A266" s="359" t="s">
        <v>820</v>
      </c>
      <c r="B266" s="359"/>
      <c r="C266" s="359" t="s">
        <v>821</v>
      </c>
      <c r="D266" s="360">
        <v>321520</v>
      </c>
      <c r="E266" s="360">
        <v>321520</v>
      </c>
      <c r="F266" s="360">
        <v>322666</v>
      </c>
      <c r="G266" s="360">
        <v>327519</v>
      </c>
      <c r="H266" s="360">
        <v>332427</v>
      </c>
    </row>
    <row r="267" spans="1:10" x14ac:dyDescent="0.2">
      <c r="A267" s="359" t="s">
        <v>822</v>
      </c>
      <c r="B267" s="359"/>
      <c r="C267" s="359" t="s">
        <v>823</v>
      </c>
      <c r="D267" s="360">
        <v>1670890</v>
      </c>
      <c r="E267" s="360">
        <v>1670890</v>
      </c>
      <c r="F267" s="360">
        <v>1675886</v>
      </c>
      <c r="G267" s="360">
        <v>1698348</v>
      </c>
      <c r="H267" s="360">
        <v>1726693</v>
      </c>
    </row>
    <row r="268" spans="1:10" x14ac:dyDescent="0.2">
      <c r="A268" s="359" t="s">
        <v>824</v>
      </c>
      <c r="B268" s="359"/>
      <c r="C268" s="359" t="s">
        <v>825</v>
      </c>
      <c r="D268" s="360">
        <v>126802</v>
      </c>
      <c r="E268" s="360">
        <v>126802</v>
      </c>
      <c r="F268" s="360">
        <v>127079</v>
      </c>
      <c r="G268" s="360">
        <v>128075</v>
      </c>
      <c r="H268" s="360">
        <v>128119</v>
      </c>
    </row>
    <row r="269" spans="1:10" x14ac:dyDescent="0.2">
      <c r="A269" s="359" t="s">
        <v>826</v>
      </c>
      <c r="B269" s="359"/>
      <c r="C269" s="359" t="s">
        <v>827</v>
      </c>
      <c r="D269" s="360">
        <v>862477</v>
      </c>
      <c r="E269" s="360">
        <v>862474</v>
      </c>
      <c r="F269" s="360">
        <v>862703</v>
      </c>
      <c r="G269" s="360">
        <v>862812</v>
      </c>
      <c r="H269" s="360">
        <v>862813</v>
      </c>
    </row>
    <row r="270" spans="1:10" x14ac:dyDescent="0.2">
      <c r="A270" s="359" t="s">
        <v>828</v>
      </c>
      <c r="B270" s="359"/>
      <c r="C270" s="359" t="s">
        <v>829</v>
      </c>
      <c r="D270" s="360">
        <v>1189866</v>
      </c>
      <c r="E270" s="360">
        <v>1189863</v>
      </c>
      <c r="F270" s="360">
        <v>1195466</v>
      </c>
      <c r="G270" s="360">
        <v>1213488</v>
      </c>
      <c r="H270" s="360">
        <v>1227096</v>
      </c>
    </row>
    <row r="271" spans="1:10" x14ac:dyDescent="0.2">
      <c r="A271" s="359" t="s">
        <v>830</v>
      </c>
      <c r="B271" s="359"/>
      <c r="C271" s="359" t="s">
        <v>831</v>
      </c>
      <c r="D271" s="360">
        <v>19567410</v>
      </c>
      <c r="E271" s="360">
        <v>19567407</v>
      </c>
      <c r="F271" s="360">
        <v>19598491</v>
      </c>
      <c r="G271" s="360">
        <v>19729930</v>
      </c>
      <c r="H271" s="360">
        <v>19831858</v>
      </c>
      <c r="I271" s="366">
        <f>G271/F271-1</f>
        <v>6.706587767394856E-3</v>
      </c>
      <c r="J271" s="366">
        <f t="shared" ref="J271" si="2">H271/G271-1</f>
        <v>5.1661612585549577E-3</v>
      </c>
    </row>
    <row r="272" spans="1:10" x14ac:dyDescent="0.2">
      <c r="A272" s="359" t="s">
        <v>830</v>
      </c>
      <c r="B272" s="359" t="s">
        <v>832</v>
      </c>
      <c r="C272" s="361" t="s">
        <v>833</v>
      </c>
      <c r="D272" s="360">
        <v>397198</v>
      </c>
      <c r="E272" s="360">
        <v>397198</v>
      </c>
      <c r="F272" s="360">
        <v>397556</v>
      </c>
      <c r="G272" s="360">
        <v>398125</v>
      </c>
      <c r="H272" s="360">
        <v>396929</v>
      </c>
    </row>
    <row r="273" spans="1:8" x14ac:dyDescent="0.2">
      <c r="A273" s="359" t="s">
        <v>830</v>
      </c>
      <c r="B273" s="359" t="s">
        <v>834</v>
      </c>
      <c r="C273" s="361" t="s">
        <v>835</v>
      </c>
      <c r="D273" s="360">
        <v>2832882</v>
      </c>
      <c r="E273" s="360">
        <v>2832879</v>
      </c>
      <c r="F273" s="360">
        <v>2836048</v>
      </c>
      <c r="G273" s="360">
        <v>2846165</v>
      </c>
      <c r="H273" s="360">
        <v>2848506</v>
      </c>
    </row>
    <row r="274" spans="1:8" x14ac:dyDescent="0.2">
      <c r="A274" s="359" t="s">
        <v>830</v>
      </c>
      <c r="B274" s="359" t="s">
        <v>836</v>
      </c>
      <c r="C274" s="361" t="s">
        <v>837</v>
      </c>
      <c r="D274" s="360">
        <v>2471171</v>
      </c>
      <c r="E274" s="360">
        <v>2471170</v>
      </c>
      <c r="F274" s="360">
        <v>2474314</v>
      </c>
      <c r="G274" s="360">
        <v>2482701</v>
      </c>
      <c r="H274" s="360">
        <v>2488817</v>
      </c>
    </row>
    <row r="275" spans="1:8" x14ac:dyDescent="0.2">
      <c r="A275" s="359" t="s">
        <v>830</v>
      </c>
      <c r="B275" s="359" t="s">
        <v>838</v>
      </c>
      <c r="C275" s="361" t="s">
        <v>839</v>
      </c>
      <c r="D275" s="360">
        <v>13866159</v>
      </c>
      <c r="E275" s="360">
        <v>13866160</v>
      </c>
      <c r="F275" s="360">
        <v>13890573</v>
      </c>
      <c r="G275" s="360">
        <v>14002939</v>
      </c>
      <c r="H275" s="360">
        <v>14097606</v>
      </c>
    </row>
    <row r="276" spans="1:8" x14ac:dyDescent="0.2">
      <c r="A276" s="359" t="s">
        <v>840</v>
      </c>
      <c r="B276" s="359"/>
      <c r="C276" s="359" t="s">
        <v>841</v>
      </c>
      <c r="D276" s="360">
        <v>156813</v>
      </c>
      <c r="E276" s="360">
        <v>156813</v>
      </c>
      <c r="F276" s="360">
        <v>156799</v>
      </c>
      <c r="G276" s="360">
        <v>156489</v>
      </c>
      <c r="H276" s="360">
        <v>156067</v>
      </c>
    </row>
    <row r="277" spans="1:8" x14ac:dyDescent="0.2">
      <c r="A277" s="359" t="s">
        <v>842</v>
      </c>
      <c r="B277" s="359"/>
      <c r="C277" s="359" t="s">
        <v>843</v>
      </c>
      <c r="D277" s="360">
        <v>702281</v>
      </c>
      <c r="E277" s="360">
        <v>702281</v>
      </c>
      <c r="F277" s="360">
        <v>703568</v>
      </c>
      <c r="G277" s="360">
        <v>709037</v>
      </c>
      <c r="H277" s="360">
        <v>720042</v>
      </c>
    </row>
    <row r="278" spans="1:8" x14ac:dyDescent="0.2">
      <c r="A278" s="359" t="s">
        <v>844</v>
      </c>
      <c r="B278" s="359"/>
      <c r="C278" s="359" t="s">
        <v>845</v>
      </c>
      <c r="D278" s="360">
        <v>274055</v>
      </c>
      <c r="E278" s="360">
        <v>274055</v>
      </c>
      <c r="F278" s="360">
        <v>274092</v>
      </c>
      <c r="G278" s="360">
        <v>274091</v>
      </c>
      <c r="H278" s="360">
        <v>274170</v>
      </c>
    </row>
    <row r="279" spans="1:8" x14ac:dyDescent="0.2">
      <c r="A279" s="359" t="s">
        <v>846</v>
      </c>
      <c r="B279" s="359"/>
      <c r="C279" s="359" t="s">
        <v>847</v>
      </c>
      <c r="D279" s="360">
        <v>331298</v>
      </c>
      <c r="E279" s="360">
        <v>331298</v>
      </c>
      <c r="F279" s="360">
        <v>331407</v>
      </c>
      <c r="G279" s="360">
        <v>332472</v>
      </c>
      <c r="H279" s="360">
        <v>335125</v>
      </c>
    </row>
    <row r="280" spans="1:8" x14ac:dyDescent="0.2">
      <c r="A280" s="359" t="s">
        <v>848</v>
      </c>
      <c r="B280" s="359"/>
      <c r="C280" s="359" t="s">
        <v>849</v>
      </c>
      <c r="D280" s="360">
        <v>97265</v>
      </c>
      <c r="E280" s="360">
        <v>97265</v>
      </c>
      <c r="F280" s="360">
        <v>97282</v>
      </c>
      <c r="G280" s="360">
        <v>96562</v>
      </c>
      <c r="H280" s="360">
        <v>96304</v>
      </c>
    </row>
    <row r="281" spans="1:8" x14ac:dyDescent="0.2">
      <c r="A281" s="359" t="s">
        <v>850</v>
      </c>
      <c r="B281" s="359"/>
      <c r="C281" s="359" t="s">
        <v>851</v>
      </c>
      <c r="D281" s="360">
        <v>137130</v>
      </c>
      <c r="E281" s="360">
        <v>137130</v>
      </c>
      <c r="F281" s="360">
        <v>137056</v>
      </c>
      <c r="G281" s="360">
        <v>139588</v>
      </c>
      <c r="H281" s="360">
        <v>144325</v>
      </c>
    </row>
    <row r="282" spans="1:8" x14ac:dyDescent="0.2">
      <c r="A282" s="359" t="s">
        <v>852</v>
      </c>
      <c r="B282" s="359"/>
      <c r="C282" s="359" t="s">
        <v>853</v>
      </c>
      <c r="D282" s="360">
        <v>597159</v>
      </c>
      <c r="E282" s="360">
        <v>597159</v>
      </c>
      <c r="F282" s="360">
        <v>599708</v>
      </c>
      <c r="G282" s="360">
        <v>605786</v>
      </c>
      <c r="H282" s="360">
        <v>612441</v>
      </c>
    </row>
    <row r="283" spans="1:8" x14ac:dyDescent="0.2">
      <c r="A283" s="359" t="s">
        <v>854</v>
      </c>
      <c r="B283" s="359"/>
      <c r="C283" s="359" t="s">
        <v>855</v>
      </c>
      <c r="D283" s="360">
        <v>1252987</v>
      </c>
      <c r="E283" s="360">
        <v>1252992</v>
      </c>
      <c r="F283" s="360">
        <v>1257927</v>
      </c>
      <c r="G283" s="360">
        <v>1275821</v>
      </c>
      <c r="H283" s="360">
        <v>1296565</v>
      </c>
    </row>
    <row r="284" spans="1:8" x14ac:dyDescent="0.2">
      <c r="A284" s="359" t="s">
        <v>856</v>
      </c>
      <c r="B284" s="359"/>
      <c r="C284" s="359" t="s">
        <v>857</v>
      </c>
      <c r="D284" s="360">
        <v>252264</v>
      </c>
      <c r="E284" s="360">
        <v>252264</v>
      </c>
      <c r="F284" s="360">
        <v>253043</v>
      </c>
      <c r="G284" s="360">
        <v>256406</v>
      </c>
      <c r="H284" s="360">
        <v>258332</v>
      </c>
    </row>
    <row r="285" spans="1:8" x14ac:dyDescent="0.2">
      <c r="A285" s="359" t="s">
        <v>858</v>
      </c>
      <c r="B285" s="359"/>
      <c r="C285" s="359" t="s">
        <v>859</v>
      </c>
      <c r="D285" s="360">
        <v>865350</v>
      </c>
      <c r="E285" s="360">
        <v>865350</v>
      </c>
      <c r="F285" s="360">
        <v>868116</v>
      </c>
      <c r="G285" s="360">
        <v>877171</v>
      </c>
      <c r="H285" s="360">
        <v>885624</v>
      </c>
    </row>
    <row r="286" spans="1:8" x14ac:dyDescent="0.2">
      <c r="A286" s="359" t="s">
        <v>860</v>
      </c>
      <c r="B286" s="359"/>
      <c r="C286" s="359" t="s">
        <v>861</v>
      </c>
      <c r="D286" s="360">
        <v>2134411</v>
      </c>
      <c r="E286" s="360">
        <v>2134411</v>
      </c>
      <c r="F286" s="360">
        <v>2139583</v>
      </c>
      <c r="G286" s="360">
        <v>2175004</v>
      </c>
      <c r="H286" s="360">
        <v>2223674</v>
      </c>
    </row>
    <row r="287" spans="1:8" x14ac:dyDescent="0.2">
      <c r="A287" s="359" t="s">
        <v>862</v>
      </c>
      <c r="B287" s="359"/>
      <c r="C287" s="359" t="s">
        <v>863</v>
      </c>
      <c r="D287" s="360">
        <v>166994</v>
      </c>
      <c r="E287" s="360">
        <v>166994</v>
      </c>
      <c r="F287" s="360">
        <v>167078</v>
      </c>
      <c r="G287" s="360">
        <v>167708</v>
      </c>
      <c r="H287" s="360">
        <v>168794</v>
      </c>
    </row>
    <row r="288" spans="1:8" x14ac:dyDescent="0.2">
      <c r="A288" s="359" t="s">
        <v>864</v>
      </c>
      <c r="B288" s="359"/>
      <c r="C288" s="359" t="s">
        <v>865</v>
      </c>
      <c r="D288" s="360">
        <v>114752</v>
      </c>
      <c r="E288" s="360">
        <v>114755</v>
      </c>
      <c r="F288" s="360">
        <v>114806</v>
      </c>
      <c r="G288" s="360">
        <v>115394</v>
      </c>
      <c r="H288" s="360">
        <v>116030</v>
      </c>
    </row>
    <row r="289" spans="1:8" x14ac:dyDescent="0.2">
      <c r="A289" s="359" t="s">
        <v>866</v>
      </c>
      <c r="B289" s="359"/>
      <c r="C289" s="359" t="s">
        <v>867</v>
      </c>
      <c r="D289" s="360">
        <v>823318</v>
      </c>
      <c r="E289" s="360">
        <v>823318</v>
      </c>
      <c r="F289" s="360">
        <v>825378</v>
      </c>
      <c r="G289" s="360">
        <v>831126</v>
      </c>
      <c r="H289" s="360">
        <v>835981</v>
      </c>
    </row>
    <row r="290" spans="1:8" x14ac:dyDescent="0.2">
      <c r="A290" s="359" t="s">
        <v>868</v>
      </c>
      <c r="B290" s="359"/>
      <c r="C290" s="359" t="s">
        <v>869</v>
      </c>
      <c r="D290" s="360">
        <v>543376</v>
      </c>
      <c r="E290" s="360">
        <v>543372</v>
      </c>
      <c r="F290" s="360">
        <v>543978</v>
      </c>
      <c r="G290" s="360">
        <v>544322</v>
      </c>
      <c r="H290" s="360">
        <v>547307</v>
      </c>
    </row>
    <row r="291" spans="1:8" x14ac:dyDescent="0.2">
      <c r="A291" s="359" t="s">
        <v>870</v>
      </c>
      <c r="B291" s="359"/>
      <c r="C291" s="359" t="s">
        <v>871</v>
      </c>
      <c r="D291" s="360">
        <v>184715</v>
      </c>
      <c r="E291" s="360">
        <v>184715</v>
      </c>
      <c r="F291" s="360">
        <v>185128</v>
      </c>
      <c r="G291" s="360">
        <v>185500</v>
      </c>
      <c r="H291" s="360">
        <v>187621</v>
      </c>
    </row>
    <row r="292" spans="1:8" x14ac:dyDescent="0.2">
      <c r="A292" s="359" t="s">
        <v>872</v>
      </c>
      <c r="B292" s="359"/>
      <c r="C292" s="359" t="s">
        <v>873</v>
      </c>
      <c r="D292" s="360">
        <v>92673</v>
      </c>
      <c r="E292" s="360">
        <v>92673</v>
      </c>
      <c r="F292" s="360">
        <v>92757</v>
      </c>
      <c r="G292" s="360">
        <v>92643</v>
      </c>
      <c r="H292" s="360">
        <v>92548</v>
      </c>
    </row>
    <row r="293" spans="1:8" x14ac:dyDescent="0.2">
      <c r="A293" s="359" t="s">
        <v>874</v>
      </c>
      <c r="B293" s="359"/>
      <c r="C293" s="359" t="s">
        <v>875</v>
      </c>
      <c r="D293" s="360">
        <v>448991</v>
      </c>
      <c r="E293" s="360">
        <v>448991</v>
      </c>
      <c r="F293" s="360">
        <v>451110</v>
      </c>
      <c r="G293" s="360">
        <v>455458</v>
      </c>
      <c r="H293" s="360">
        <v>461227</v>
      </c>
    </row>
    <row r="294" spans="1:8" x14ac:dyDescent="0.2">
      <c r="A294" s="359" t="s">
        <v>876</v>
      </c>
      <c r="B294" s="359"/>
      <c r="C294" s="359" t="s">
        <v>877</v>
      </c>
      <c r="D294" s="360">
        <v>379186</v>
      </c>
      <c r="E294" s="360">
        <v>379186</v>
      </c>
      <c r="F294" s="360">
        <v>378937</v>
      </c>
      <c r="G294" s="360">
        <v>379693</v>
      </c>
      <c r="H294" s="360">
        <v>380447</v>
      </c>
    </row>
    <row r="295" spans="1:8" x14ac:dyDescent="0.2">
      <c r="A295" s="359" t="s">
        <v>878</v>
      </c>
      <c r="B295" s="359"/>
      <c r="C295" s="359" t="s">
        <v>879</v>
      </c>
      <c r="D295" s="360">
        <v>5965343</v>
      </c>
      <c r="E295" s="360">
        <v>5965341</v>
      </c>
      <c r="F295" s="360">
        <v>5972025</v>
      </c>
      <c r="G295" s="360">
        <v>5997474</v>
      </c>
      <c r="H295" s="360">
        <v>6018800</v>
      </c>
    </row>
    <row r="296" spans="1:8" x14ac:dyDescent="0.2">
      <c r="A296" s="359" t="s">
        <v>878</v>
      </c>
      <c r="B296" s="359" t="s">
        <v>880</v>
      </c>
      <c r="C296" s="361" t="s">
        <v>881</v>
      </c>
      <c r="D296" s="360">
        <v>1250679</v>
      </c>
      <c r="E296" s="360">
        <v>1250685</v>
      </c>
      <c r="F296" s="360">
        <v>1251682</v>
      </c>
      <c r="G296" s="360">
        <v>1253498</v>
      </c>
      <c r="H296" s="360">
        <v>1254461</v>
      </c>
    </row>
    <row r="297" spans="1:8" x14ac:dyDescent="0.2">
      <c r="A297" s="359" t="s">
        <v>878</v>
      </c>
      <c r="B297" s="359" t="s">
        <v>882</v>
      </c>
      <c r="C297" s="361" t="s">
        <v>883</v>
      </c>
      <c r="D297" s="360">
        <v>1924009</v>
      </c>
      <c r="E297" s="360">
        <v>1924008</v>
      </c>
      <c r="F297" s="360">
        <v>1926378</v>
      </c>
      <c r="G297" s="360">
        <v>1935678</v>
      </c>
      <c r="H297" s="360">
        <v>1942088</v>
      </c>
    </row>
    <row r="298" spans="1:8" x14ac:dyDescent="0.2">
      <c r="A298" s="359" t="s">
        <v>878</v>
      </c>
      <c r="B298" s="359" t="s">
        <v>884</v>
      </c>
      <c r="C298" s="361" t="s">
        <v>885</v>
      </c>
      <c r="D298" s="360">
        <v>2084985</v>
      </c>
      <c r="E298" s="360">
        <v>2084978</v>
      </c>
      <c r="F298" s="360">
        <v>2087831</v>
      </c>
      <c r="G298" s="360">
        <v>2098128</v>
      </c>
      <c r="H298" s="360">
        <v>2108705</v>
      </c>
    </row>
    <row r="299" spans="1:8" x14ac:dyDescent="0.2">
      <c r="A299" s="359" t="s">
        <v>878</v>
      </c>
      <c r="B299" s="359" t="s">
        <v>886</v>
      </c>
      <c r="C299" s="361" t="s">
        <v>887</v>
      </c>
      <c r="D299" s="360">
        <v>705670</v>
      </c>
      <c r="E299" s="360">
        <v>705670</v>
      </c>
      <c r="F299" s="360">
        <v>706134</v>
      </c>
      <c r="G299" s="360">
        <v>710170</v>
      </c>
      <c r="H299" s="360">
        <v>713546</v>
      </c>
    </row>
    <row r="300" spans="1:8" x14ac:dyDescent="0.2">
      <c r="A300" s="359" t="s">
        <v>888</v>
      </c>
      <c r="B300" s="359"/>
      <c r="C300" s="359" t="s">
        <v>889</v>
      </c>
      <c r="D300" s="360">
        <v>4192887</v>
      </c>
      <c r="E300" s="360">
        <v>4192887</v>
      </c>
      <c r="F300" s="360">
        <v>4209375</v>
      </c>
      <c r="G300" s="360">
        <v>4252078</v>
      </c>
      <c r="H300" s="360">
        <v>4329534</v>
      </c>
    </row>
    <row r="301" spans="1:8" x14ac:dyDescent="0.2">
      <c r="A301" s="359" t="s">
        <v>890</v>
      </c>
      <c r="B301" s="359"/>
      <c r="C301" s="359" t="s">
        <v>891</v>
      </c>
      <c r="D301" s="360">
        <v>100258</v>
      </c>
      <c r="E301" s="360">
        <v>100258</v>
      </c>
      <c r="F301" s="360">
        <v>100118</v>
      </c>
      <c r="G301" s="360">
        <v>98973</v>
      </c>
      <c r="H301" s="360">
        <v>97451</v>
      </c>
    </row>
    <row r="302" spans="1:8" x14ac:dyDescent="0.2">
      <c r="A302" s="359" t="s">
        <v>892</v>
      </c>
      <c r="B302" s="359"/>
      <c r="C302" s="359" t="s">
        <v>893</v>
      </c>
      <c r="D302" s="360">
        <v>2356285</v>
      </c>
      <c r="E302" s="360">
        <v>2356285</v>
      </c>
      <c r="F302" s="360">
        <v>2356827</v>
      </c>
      <c r="G302" s="360">
        <v>2360114</v>
      </c>
      <c r="H302" s="360">
        <v>2360733</v>
      </c>
    </row>
    <row r="303" spans="1:8" x14ac:dyDescent="0.2">
      <c r="A303" s="359" t="s">
        <v>894</v>
      </c>
      <c r="B303" s="359"/>
      <c r="C303" s="359" t="s">
        <v>895</v>
      </c>
      <c r="D303" s="360">
        <v>131219</v>
      </c>
      <c r="E303" s="360">
        <v>131219</v>
      </c>
      <c r="F303" s="360">
        <v>131232</v>
      </c>
      <c r="G303" s="360">
        <v>130447</v>
      </c>
      <c r="H303" s="360">
        <v>130016</v>
      </c>
    </row>
    <row r="304" spans="1:8" x14ac:dyDescent="0.2">
      <c r="A304" s="359" t="s">
        <v>896</v>
      </c>
      <c r="B304" s="359"/>
      <c r="C304" s="359" t="s">
        <v>897</v>
      </c>
      <c r="D304" s="360">
        <v>82839</v>
      </c>
      <c r="E304" s="360">
        <v>82839</v>
      </c>
      <c r="F304" s="360">
        <v>82993</v>
      </c>
      <c r="G304" s="360">
        <v>83524</v>
      </c>
      <c r="H304" s="360">
        <v>83800</v>
      </c>
    </row>
    <row r="305" spans="1:8" x14ac:dyDescent="0.2">
      <c r="A305" s="359" t="s">
        <v>898</v>
      </c>
      <c r="B305" s="359"/>
      <c r="C305" s="359" t="s">
        <v>899</v>
      </c>
      <c r="D305" s="360">
        <v>514098</v>
      </c>
      <c r="E305" s="360">
        <v>514100</v>
      </c>
      <c r="F305" s="360">
        <v>513875</v>
      </c>
      <c r="G305" s="360">
        <v>516081</v>
      </c>
      <c r="H305" s="360">
        <v>518117</v>
      </c>
    </row>
    <row r="306" spans="1:8" x14ac:dyDescent="0.2">
      <c r="A306" s="359" t="s">
        <v>900</v>
      </c>
      <c r="B306" s="359"/>
      <c r="C306" s="359" t="s">
        <v>901</v>
      </c>
      <c r="D306" s="360">
        <v>2226009</v>
      </c>
      <c r="E306" s="360">
        <v>2226009</v>
      </c>
      <c r="F306" s="360">
        <v>2232717</v>
      </c>
      <c r="G306" s="360">
        <v>2260928</v>
      </c>
      <c r="H306" s="360">
        <v>2289800</v>
      </c>
    </row>
    <row r="307" spans="1:8" x14ac:dyDescent="0.2">
      <c r="A307" s="359" t="s">
        <v>902</v>
      </c>
      <c r="B307" s="359"/>
      <c r="C307" s="359" t="s">
        <v>903</v>
      </c>
      <c r="D307" s="360">
        <v>424107</v>
      </c>
      <c r="E307" s="360">
        <v>424107</v>
      </c>
      <c r="F307" s="360">
        <v>425251</v>
      </c>
      <c r="G307" s="360">
        <v>428409</v>
      </c>
      <c r="H307" s="360">
        <v>432683</v>
      </c>
    </row>
    <row r="308" spans="1:8" x14ac:dyDescent="0.2">
      <c r="A308" s="359" t="s">
        <v>904</v>
      </c>
      <c r="B308" s="359"/>
      <c r="C308" s="359" t="s">
        <v>905</v>
      </c>
      <c r="D308" s="360">
        <v>211033</v>
      </c>
      <c r="E308" s="360">
        <v>211033</v>
      </c>
      <c r="F308" s="360">
        <v>210249</v>
      </c>
      <c r="G308" s="360">
        <v>211130</v>
      </c>
      <c r="H308" s="360">
        <v>212637</v>
      </c>
    </row>
    <row r="309" spans="1:8" x14ac:dyDescent="0.2">
      <c r="A309" s="359" t="s">
        <v>906</v>
      </c>
      <c r="B309" s="359"/>
      <c r="C309" s="359" t="s">
        <v>907</v>
      </c>
      <c r="D309" s="360">
        <v>1600852</v>
      </c>
      <c r="E309" s="360">
        <v>1600852</v>
      </c>
      <c r="F309" s="360">
        <v>1601992</v>
      </c>
      <c r="G309" s="360">
        <v>1600258</v>
      </c>
      <c r="H309" s="360">
        <v>1601374</v>
      </c>
    </row>
    <row r="310" spans="1:8" x14ac:dyDescent="0.2">
      <c r="A310" s="359" t="s">
        <v>908</v>
      </c>
      <c r="B310" s="359"/>
      <c r="C310" s="359" t="s">
        <v>909</v>
      </c>
      <c r="D310" s="360">
        <v>526810</v>
      </c>
      <c r="E310" s="360">
        <v>526810</v>
      </c>
      <c r="F310" s="360">
        <v>530092</v>
      </c>
      <c r="G310" s="360">
        <v>540437</v>
      </c>
      <c r="H310" s="360">
        <v>550845</v>
      </c>
    </row>
    <row r="311" spans="1:8" x14ac:dyDescent="0.2">
      <c r="A311" s="359" t="s">
        <v>910</v>
      </c>
      <c r="B311" s="359"/>
      <c r="C311" s="359" t="s">
        <v>911</v>
      </c>
      <c r="D311" s="360">
        <v>159063</v>
      </c>
      <c r="E311" s="360">
        <v>159063</v>
      </c>
      <c r="F311" s="360">
        <v>159570</v>
      </c>
      <c r="G311" s="360">
        <v>160346</v>
      </c>
      <c r="H311" s="360">
        <v>160852</v>
      </c>
    </row>
    <row r="312" spans="1:8" x14ac:dyDescent="0.2">
      <c r="A312" s="359" t="s">
        <v>912</v>
      </c>
      <c r="B312" s="359"/>
      <c r="C312" s="359" t="s">
        <v>913</v>
      </c>
      <c r="D312" s="360">
        <v>159978</v>
      </c>
      <c r="E312" s="360">
        <v>159978</v>
      </c>
      <c r="F312" s="360">
        <v>159898</v>
      </c>
      <c r="G312" s="360">
        <v>159459</v>
      </c>
      <c r="H312" s="360">
        <v>162449</v>
      </c>
    </row>
    <row r="313" spans="1:8" x14ac:dyDescent="0.2">
      <c r="A313" s="359" t="s">
        <v>914</v>
      </c>
      <c r="B313" s="359"/>
      <c r="C313" s="359" t="s">
        <v>915</v>
      </c>
      <c r="D313" s="360">
        <v>195408</v>
      </c>
      <c r="E313" s="360">
        <v>195408</v>
      </c>
      <c r="F313" s="360">
        <v>195447</v>
      </c>
      <c r="G313" s="360">
        <v>195014</v>
      </c>
      <c r="H313" s="360">
        <v>194797</v>
      </c>
    </row>
    <row r="314" spans="1:8" x14ac:dyDescent="0.2">
      <c r="A314" s="359" t="s">
        <v>916</v>
      </c>
      <c r="B314" s="359"/>
      <c r="C314" s="359" t="s">
        <v>917</v>
      </c>
      <c r="D314" s="360">
        <v>1130490</v>
      </c>
      <c r="E314" s="360">
        <v>1130490</v>
      </c>
      <c r="F314" s="360">
        <v>1137352</v>
      </c>
      <c r="G314" s="360">
        <v>1162688</v>
      </c>
      <c r="H314" s="360">
        <v>1188564</v>
      </c>
    </row>
    <row r="315" spans="1:8" x14ac:dyDescent="0.2">
      <c r="A315" s="359" t="s">
        <v>918</v>
      </c>
      <c r="B315" s="359"/>
      <c r="C315" s="359" t="s">
        <v>919</v>
      </c>
      <c r="D315" s="360">
        <v>134598</v>
      </c>
      <c r="E315" s="360">
        <v>134598</v>
      </c>
      <c r="F315" s="360">
        <v>135079</v>
      </c>
      <c r="G315" s="360">
        <v>136385</v>
      </c>
      <c r="H315" s="360">
        <v>138738</v>
      </c>
    </row>
    <row r="316" spans="1:8" x14ac:dyDescent="0.2">
      <c r="A316" s="359" t="s">
        <v>920</v>
      </c>
      <c r="B316" s="359"/>
      <c r="C316" s="359" t="s">
        <v>921</v>
      </c>
      <c r="D316" s="360">
        <v>411442</v>
      </c>
      <c r="E316" s="360">
        <v>411447</v>
      </c>
      <c r="F316" s="360">
        <v>411791</v>
      </c>
      <c r="G316" s="360">
        <v>412547</v>
      </c>
      <c r="H316" s="360">
        <v>413491</v>
      </c>
    </row>
    <row r="317" spans="1:8" x14ac:dyDescent="0.2">
      <c r="A317" s="359" t="s">
        <v>922</v>
      </c>
      <c r="B317" s="359"/>
      <c r="C317" s="359" t="s">
        <v>923</v>
      </c>
      <c r="D317" s="360">
        <v>177223</v>
      </c>
      <c r="E317" s="360">
        <v>177223</v>
      </c>
      <c r="F317" s="360">
        <v>177324</v>
      </c>
      <c r="G317" s="360">
        <v>178031</v>
      </c>
      <c r="H317" s="360">
        <v>178586</v>
      </c>
    </row>
    <row r="318" spans="1:8" x14ac:dyDescent="0.2">
      <c r="A318" s="359" t="s">
        <v>924</v>
      </c>
      <c r="B318" s="359"/>
      <c r="C318" s="359" t="s">
        <v>925</v>
      </c>
      <c r="D318" s="360">
        <v>425417</v>
      </c>
      <c r="E318" s="360">
        <v>425417</v>
      </c>
      <c r="F318" s="360">
        <v>426223</v>
      </c>
      <c r="G318" s="360">
        <v>429356</v>
      </c>
      <c r="H318" s="360">
        <v>433843</v>
      </c>
    </row>
    <row r="319" spans="1:8" x14ac:dyDescent="0.2">
      <c r="A319" s="359" t="s">
        <v>926</v>
      </c>
      <c r="B319" s="359"/>
      <c r="C319" s="359" t="s">
        <v>927</v>
      </c>
      <c r="D319" s="360">
        <v>1208101</v>
      </c>
      <c r="E319" s="360">
        <v>1208101</v>
      </c>
      <c r="F319" s="360">
        <v>1210180</v>
      </c>
      <c r="G319" s="360">
        <v>1219022</v>
      </c>
      <c r="H319" s="360">
        <v>1231980</v>
      </c>
    </row>
    <row r="320" spans="1:8" x14ac:dyDescent="0.2">
      <c r="A320" s="359" t="s">
        <v>928</v>
      </c>
      <c r="B320" s="359"/>
      <c r="C320" s="359" t="s">
        <v>929</v>
      </c>
      <c r="D320" s="360">
        <v>4224851</v>
      </c>
      <c r="E320" s="360">
        <v>4224851</v>
      </c>
      <c r="F320" s="360">
        <v>4243987</v>
      </c>
      <c r="G320" s="360">
        <v>4301841</v>
      </c>
      <c r="H320" s="360">
        <v>4350096</v>
      </c>
    </row>
    <row r="321" spans="1:8" x14ac:dyDescent="0.2">
      <c r="A321" s="359" t="s">
        <v>930</v>
      </c>
      <c r="B321" s="359"/>
      <c r="C321" s="359" t="s">
        <v>931</v>
      </c>
      <c r="D321" s="360">
        <v>308707</v>
      </c>
      <c r="E321" s="360">
        <v>308707</v>
      </c>
      <c r="F321" s="360">
        <v>308660</v>
      </c>
      <c r="G321" s="360">
        <v>308999</v>
      </c>
      <c r="H321" s="360">
        <v>310118</v>
      </c>
    </row>
    <row r="322" spans="1:8" x14ac:dyDescent="0.2">
      <c r="A322" s="359" t="s">
        <v>932</v>
      </c>
      <c r="B322" s="359"/>
      <c r="C322" s="359" t="s">
        <v>933</v>
      </c>
      <c r="D322" s="360">
        <v>206877</v>
      </c>
      <c r="E322" s="360">
        <v>206877</v>
      </c>
      <c r="F322" s="360">
        <v>207137</v>
      </c>
      <c r="G322" s="360">
        <v>208446</v>
      </c>
      <c r="H322" s="360">
        <v>209607</v>
      </c>
    </row>
    <row r="323" spans="1:8" x14ac:dyDescent="0.2">
      <c r="A323" s="359" t="s">
        <v>934</v>
      </c>
      <c r="B323" s="359"/>
      <c r="C323" s="359" t="s">
        <v>935</v>
      </c>
      <c r="D323" s="360">
        <v>1079671</v>
      </c>
      <c r="E323" s="360">
        <v>1079671</v>
      </c>
      <c r="F323" s="360">
        <v>1079913</v>
      </c>
      <c r="G323" s="360">
        <v>1082120</v>
      </c>
      <c r="H323" s="360">
        <v>1082284</v>
      </c>
    </row>
    <row r="324" spans="1:8" x14ac:dyDescent="0.2">
      <c r="A324" s="359" t="s">
        <v>936</v>
      </c>
      <c r="B324" s="359"/>
      <c r="C324" s="359" t="s">
        <v>937</v>
      </c>
      <c r="D324" s="360">
        <v>349431</v>
      </c>
      <c r="E324" s="360">
        <v>349431</v>
      </c>
      <c r="F324" s="360">
        <v>349245</v>
      </c>
      <c r="G324" s="360">
        <v>347913</v>
      </c>
      <c r="H324" s="360">
        <v>346009</v>
      </c>
    </row>
    <row r="325" spans="1:8" x14ac:dyDescent="0.2">
      <c r="A325" s="359" t="s">
        <v>938</v>
      </c>
      <c r="B325" s="359"/>
      <c r="C325" s="359" t="s">
        <v>939</v>
      </c>
      <c r="D325" s="360">
        <v>152392</v>
      </c>
      <c r="E325" s="360">
        <v>152388</v>
      </c>
      <c r="F325" s="360">
        <v>152468</v>
      </c>
      <c r="G325" s="360">
        <v>151994</v>
      </c>
      <c r="H325" s="360">
        <v>151662</v>
      </c>
    </row>
    <row r="326" spans="1:8" x14ac:dyDescent="0.2">
      <c r="A326" s="359" t="s">
        <v>940</v>
      </c>
      <c r="B326" s="359"/>
      <c r="C326" s="359" t="s">
        <v>941</v>
      </c>
      <c r="D326" s="360">
        <v>96317</v>
      </c>
      <c r="E326" s="360">
        <v>96317</v>
      </c>
      <c r="F326" s="360">
        <v>96382</v>
      </c>
      <c r="G326" s="360">
        <v>96156</v>
      </c>
      <c r="H326" s="360">
        <v>96177</v>
      </c>
    </row>
    <row r="327" spans="1:8" x14ac:dyDescent="0.2">
      <c r="A327" s="359" t="s">
        <v>942</v>
      </c>
      <c r="B327" s="359"/>
      <c r="C327" s="359" t="s">
        <v>943</v>
      </c>
      <c r="D327" s="360">
        <v>2149127</v>
      </c>
      <c r="E327" s="360">
        <v>2149127</v>
      </c>
      <c r="F327" s="360">
        <v>2154776</v>
      </c>
      <c r="G327" s="360">
        <v>2176452</v>
      </c>
      <c r="H327" s="360">
        <v>2196482</v>
      </c>
    </row>
    <row r="328" spans="1:8" x14ac:dyDescent="0.2">
      <c r="A328" s="359" t="s">
        <v>944</v>
      </c>
      <c r="B328" s="359"/>
      <c r="C328" s="359" t="s">
        <v>945</v>
      </c>
      <c r="D328" s="360">
        <v>200169</v>
      </c>
      <c r="E328" s="360">
        <v>200169</v>
      </c>
      <c r="F328" s="360">
        <v>199940</v>
      </c>
      <c r="G328" s="360">
        <v>198990</v>
      </c>
      <c r="H328" s="360">
        <v>198353</v>
      </c>
    </row>
    <row r="329" spans="1:8" x14ac:dyDescent="0.2">
      <c r="A329" s="359" t="s">
        <v>946</v>
      </c>
      <c r="B329" s="359"/>
      <c r="C329" s="359" t="s">
        <v>947</v>
      </c>
      <c r="D329" s="360">
        <v>189093</v>
      </c>
      <c r="E329" s="360">
        <v>189093</v>
      </c>
      <c r="F329" s="360">
        <v>189208</v>
      </c>
      <c r="G329" s="360">
        <v>190036</v>
      </c>
      <c r="H329" s="360">
        <v>190471</v>
      </c>
    </row>
    <row r="330" spans="1:8" x14ac:dyDescent="0.2">
      <c r="A330" s="359" t="s">
        <v>948</v>
      </c>
      <c r="B330" s="359"/>
      <c r="C330" s="359" t="s">
        <v>949</v>
      </c>
      <c r="D330" s="360">
        <v>138115</v>
      </c>
      <c r="E330" s="360">
        <v>138115</v>
      </c>
      <c r="F330" s="360">
        <v>138462</v>
      </c>
      <c r="G330" s="360">
        <v>141511</v>
      </c>
      <c r="H330" s="360">
        <v>144809</v>
      </c>
    </row>
    <row r="331" spans="1:8" x14ac:dyDescent="0.2">
      <c r="A331" s="359" t="s">
        <v>950</v>
      </c>
      <c r="B331" s="359"/>
      <c r="C331" s="359" t="s">
        <v>951</v>
      </c>
      <c r="D331" s="360">
        <v>127329</v>
      </c>
      <c r="E331" s="360">
        <v>127329</v>
      </c>
      <c r="F331" s="360">
        <v>127226</v>
      </c>
      <c r="G331" s="360">
        <v>127649</v>
      </c>
      <c r="H331" s="360">
        <v>127927</v>
      </c>
    </row>
    <row r="332" spans="1:8" x14ac:dyDescent="0.2">
      <c r="A332" s="359" t="s">
        <v>952</v>
      </c>
      <c r="B332" s="359"/>
      <c r="C332" s="359" t="s">
        <v>953</v>
      </c>
      <c r="D332" s="360">
        <v>2787701</v>
      </c>
      <c r="E332" s="360">
        <v>2787695</v>
      </c>
      <c r="F332" s="360">
        <v>2789873</v>
      </c>
      <c r="G332" s="360">
        <v>2793375</v>
      </c>
      <c r="H332" s="360">
        <v>2795794</v>
      </c>
    </row>
    <row r="333" spans="1:8" x14ac:dyDescent="0.2">
      <c r="A333" s="359" t="s">
        <v>954</v>
      </c>
      <c r="B333" s="359"/>
      <c r="C333" s="359" t="s">
        <v>955</v>
      </c>
      <c r="D333" s="360">
        <v>390738</v>
      </c>
      <c r="E333" s="360">
        <v>390738</v>
      </c>
      <c r="F333" s="360">
        <v>391637</v>
      </c>
      <c r="G333" s="360">
        <v>393822</v>
      </c>
      <c r="H333" s="360">
        <v>396338</v>
      </c>
    </row>
    <row r="334" spans="1:8" x14ac:dyDescent="0.2">
      <c r="A334" s="359" t="s">
        <v>956</v>
      </c>
      <c r="B334" s="359"/>
      <c r="C334" s="359" t="s">
        <v>957</v>
      </c>
      <c r="D334" s="360">
        <v>415057</v>
      </c>
      <c r="E334" s="360">
        <v>415057</v>
      </c>
      <c r="F334" s="360">
        <v>416335</v>
      </c>
      <c r="G334" s="360">
        <v>421612</v>
      </c>
      <c r="H334" s="360">
        <v>426762</v>
      </c>
    </row>
    <row r="335" spans="1:8" x14ac:dyDescent="0.2">
      <c r="A335" s="359" t="s">
        <v>958</v>
      </c>
      <c r="B335" s="359"/>
      <c r="C335" s="359" t="s">
        <v>959</v>
      </c>
      <c r="D335" s="360">
        <v>373802</v>
      </c>
      <c r="E335" s="360">
        <v>373802</v>
      </c>
      <c r="F335" s="360">
        <v>374756</v>
      </c>
      <c r="G335" s="360">
        <v>378155</v>
      </c>
      <c r="H335" s="360">
        <v>381868</v>
      </c>
    </row>
    <row r="336" spans="1:8" x14ac:dyDescent="0.2">
      <c r="A336" s="359" t="s">
        <v>960</v>
      </c>
      <c r="B336" s="359"/>
      <c r="C336" s="359" t="s">
        <v>961</v>
      </c>
      <c r="D336" s="360">
        <v>1087873</v>
      </c>
      <c r="E336" s="360">
        <v>1087873</v>
      </c>
      <c r="F336" s="360">
        <v>1091718</v>
      </c>
      <c r="G336" s="360">
        <v>1107018</v>
      </c>
      <c r="H336" s="360">
        <v>1123712</v>
      </c>
    </row>
    <row r="337" spans="1:8" x14ac:dyDescent="0.2">
      <c r="A337" s="359" t="s">
        <v>962</v>
      </c>
      <c r="B337" s="359"/>
      <c r="C337" s="359" t="s">
        <v>963</v>
      </c>
      <c r="D337" s="360">
        <v>111823</v>
      </c>
      <c r="E337" s="360">
        <v>111823</v>
      </c>
      <c r="F337" s="360">
        <v>112241</v>
      </c>
      <c r="G337" s="360">
        <v>113348</v>
      </c>
      <c r="H337" s="360">
        <v>114854</v>
      </c>
    </row>
    <row r="338" spans="1:8" x14ac:dyDescent="0.2">
      <c r="A338" s="359" t="s">
        <v>964</v>
      </c>
      <c r="B338" s="359"/>
      <c r="C338" s="359" t="s">
        <v>965</v>
      </c>
      <c r="D338" s="360">
        <v>2142508</v>
      </c>
      <c r="E338" s="360">
        <v>2142508</v>
      </c>
      <c r="F338" s="360">
        <v>2153140</v>
      </c>
      <c r="G338" s="360">
        <v>2191670</v>
      </c>
      <c r="H338" s="360">
        <v>2234003</v>
      </c>
    </row>
    <row r="339" spans="1:8" x14ac:dyDescent="0.2">
      <c r="A339" s="359" t="s">
        <v>966</v>
      </c>
      <c r="B339" s="359"/>
      <c r="C339" s="359" t="s">
        <v>967</v>
      </c>
      <c r="D339" s="360">
        <v>3095313</v>
      </c>
      <c r="E339" s="360">
        <v>3095308</v>
      </c>
      <c r="F339" s="360">
        <v>3103933</v>
      </c>
      <c r="G339" s="360">
        <v>3138183</v>
      </c>
      <c r="H339" s="360">
        <v>3177063</v>
      </c>
    </row>
    <row r="340" spans="1:8" x14ac:dyDescent="0.2">
      <c r="A340" s="359" t="s">
        <v>968</v>
      </c>
      <c r="B340" s="359"/>
      <c r="C340" s="359" t="s">
        <v>969</v>
      </c>
      <c r="D340" s="360">
        <v>4335391</v>
      </c>
      <c r="E340" s="360">
        <v>4335391</v>
      </c>
      <c r="F340" s="360">
        <v>4345156</v>
      </c>
      <c r="G340" s="360">
        <v>4396918</v>
      </c>
      <c r="H340" s="360">
        <v>4455560</v>
      </c>
    </row>
    <row r="341" spans="1:8" x14ac:dyDescent="0.2">
      <c r="A341" s="359" t="s">
        <v>968</v>
      </c>
      <c r="B341" s="359" t="s">
        <v>970</v>
      </c>
      <c r="C341" s="361" t="s">
        <v>971</v>
      </c>
      <c r="D341" s="360">
        <v>2559296</v>
      </c>
      <c r="E341" s="360">
        <v>2559296</v>
      </c>
      <c r="F341" s="360">
        <v>2566473</v>
      </c>
      <c r="G341" s="360">
        <v>2598142</v>
      </c>
      <c r="H341" s="360">
        <v>2634317</v>
      </c>
    </row>
    <row r="342" spans="1:8" x14ac:dyDescent="0.2">
      <c r="A342" s="359" t="s">
        <v>968</v>
      </c>
      <c r="B342" s="359" t="s">
        <v>972</v>
      </c>
      <c r="C342" s="361" t="s">
        <v>973</v>
      </c>
      <c r="D342" s="360">
        <v>1523686</v>
      </c>
      <c r="E342" s="360">
        <v>1523686</v>
      </c>
      <c r="F342" s="360">
        <v>1525712</v>
      </c>
      <c r="G342" s="360">
        <v>1543283</v>
      </c>
      <c r="H342" s="360">
        <v>1565174</v>
      </c>
    </row>
    <row r="343" spans="1:8" x14ac:dyDescent="0.2">
      <c r="A343" s="359" t="s">
        <v>968</v>
      </c>
      <c r="B343" s="359" t="s">
        <v>974</v>
      </c>
      <c r="C343" s="361" t="s">
        <v>975</v>
      </c>
      <c r="D343" s="360">
        <v>252409</v>
      </c>
      <c r="E343" s="360">
        <v>252409</v>
      </c>
      <c r="F343" s="360">
        <v>252971</v>
      </c>
      <c r="G343" s="360">
        <v>255493</v>
      </c>
      <c r="H343" s="360">
        <v>256069</v>
      </c>
    </row>
    <row r="344" spans="1:8" x14ac:dyDescent="0.2">
      <c r="A344" s="359" t="s">
        <v>976</v>
      </c>
      <c r="B344" s="359"/>
      <c r="C344" s="359" t="s">
        <v>977</v>
      </c>
      <c r="D344" s="360">
        <v>1836911</v>
      </c>
      <c r="E344" s="360">
        <v>1836911</v>
      </c>
      <c r="F344" s="360">
        <v>1842123</v>
      </c>
      <c r="G344" s="360">
        <v>1867984</v>
      </c>
      <c r="H344" s="360">
        <v>1894388</v>
      </c>
    </row>
    <row r="345" spans="1:8" x14ac:dyDescent="0.2">
      <c r="A345" s="359" t="s">
        <v>978</v>
      </c>
      <c r="B345" s="359"/>
      <c r="C345" s="359" t="s">
        <v>979</v>
      </c>
      <c r="D345" s="360">
        <v>269637</v>
      </c>
      <c r="E345" s="360">
        <v>269637</v>
      </c>
      <c r="F345" s="360">
        <v>269954</v>
      </c>
      <c r="G345" s="360">
        <v>271345</v>
      </c>
      <c r="H345" s="360">
        <v>274804</v>
      </c>
    </row>
    <row r="346" spans="1:8" x14ac:dyDescent="0.2">
      <c r="A346" s="359" t="s">
        <v>980</v>
      </c>
      <c r="B346" s="359"/>
      <c r="C346" s="359" t="s">
        <v>981</v>
      </c>
      <c r="D346" s="360">
        <v>262382</v>
      </c>
      <c r="E346" s="360">
        <v>262382</v>
      </c>
      <c r="F346" s="360">
        <v>263435</v>
      </c>
      <c r="G346" s="360">
        <v>264961</v>
      </c>
      <c r="H346" s="360">
        <v>266776</v>
      </c>
    </row>
    <row r="347" spans="1:8" x14ac:dyDescent="0.2">
      <c r="A347" s="359" t="s">
        <v>982</v>
      </c>
      <c r="B347" s="359"/>
      <c r="C347" s="359" t="s">
        <v>983</v>
      </c>
      <c r="D347" s="360">
        <v>144170</v>
      </c>
      <c r="E347" s="360">
        <v>144169</v>
      </c>
      <c r="F347" s="360">
        <v>144441</v>
      </c>
      <c r="G347" s="360">
        <v>145319</v>
      </c>
      <c r="H347" s="360">
        <v>146375</v>
      </c>
    </row>
    <row r="348" spans="1:8" x14ac:dyDescent="0.2">
      <c r="A348" s="359" t="s">
        <v>984</v>
      </c>
      <c r="B348" s="359"/>
      <c r="C348" s="359" t="s">
        <v>985</v>
      </c>
      <c r="D348" s="360">
        <v>423895</v>
      </c>
      <c r="E348" s="360">
        <v>423895</v>
      </c>
      <c r="F348" s="360">
        <v>424403</v>
      </c>
      <c r="G348" s="360">
        <v>426101</v>
      </c>
      <c r="H348" s="360">
        <v>431249</v>
      </c>
    </row>
    <row r="349" spans="1:8" x14ac:dyDescent="0.2">
      <c r="A349" s="359" t="s">
        <v>986</v>
      </c>
      <c r="B349" s="359"/>
      <c r="C349" s="359" t="s">
        <v>987</v>
      </c>
      <c r="D349" s="360">
        <v>483878</v>
      </c>
      <c r="E349" s="360">
        <v>483878</v>
      </c>
      <c r="F349" s="360">
        <v>484801</v>
      </c>
      <c r="G349" s="360">
        <v>488082</v>
      </c>
      <c r="H349" s="360">
        <v>491829</v>
      </c>
    </row>
    <row r="350" spans="1:8" x14ac:dyDescent="0.2">
      <c r="A350" s="359" t="s">
        <v>988</v>
      </c>
      <c r="B350" s="359"/>
      <c r="C350" s="359" t="s">
        <v>989</v>
      </c>
      <c r="D350" s="360">
        <v>347611</v>
      </c>
      <c r="E350" s="360">
        <v>347621</v>
      </c>
      <c r="F350" s="360">
        <v>348830</v>
      </c>
      <c r="G350" s="360">
        <v>355844</v>
      </c>
      <c r="H350" s="360">
        <v>361941</v>
      </c>
    </row>
    <row r="351" spans="1:8" x14ac:dyDescent="0.2">
      <c r="A351" s="359" t="s">
        <v>990</v>
      </c>
      <c r="B351" s="359"/>
      <c r="C351" s="359" t="s">
        <v>991</v>
      </c>
      <c r="D351" s="360">
        <v>563631</v>
      </c>
      <c r="E351" s="360">
        <v>563630</v>
      </c>
      <c r="F351" s="360">
        <v>563597</v>
      </c>
      <c r="G351" s="360">
        <v>563939</v>
      </c>
      <c r="H351" s="360">
        <v>563629</v>
      </c>
    </row>
    <row r="352" spans="1:8" x14ac:dyDescent="0.2">
      <c r="A352" s="359" t="s">
        <v>992</v>
      </c>
      <c r="B352" s="359"/>
      <c r="C352" s="359" t="s">
        <v>993</v>
      </c>
      <c r="D352" s="360">
        <v>3439809</v>
      </c>
      <c r="E352" s="360">
        <v>3439809</v>
      </c>
      <c r="F352" s="360">
        <v>3448919</v>
      </c>
      <c r="G352" s="360">
        <v>3497819</v>
      </c>
      <c r="H352" s="360">
        <v>3552157</v>
      </c>
    </row>
    <row r="353" spans="1:8" x14ac:dyDescent="0.2">
      <c r="A353" s="359" t="s">
        <v>992</v>
      </c>
      <c r="B353" s="359" t="s">
        <v>994</v>
      </c>
      <c r="C353" s="361" t="s">
        <v>995</v>
      </c>
      <c r="D353" s="360">
        <v>2644584</v>
      </c>
      <c r="E353" s="360">
        <v>2644584</v>
      </c>
      <c r="F353" s="360">
        <v>2653391</v>
      </c>
      <c r="G353" s="360">
        <v>2694273</v>
      </c>
      <c r="H353" s="360">
        <v>2740476</v>
      </c>
    </row>
    <row r="354" spans="1:8" x14ac:dyDescent="0.2">
      <c r="A354" s="359" t="s">
        <v>992</v>
      </c>
      <c r="B354" s="359" t="s">
        <v>996</v>
      </c>
      <c r="C354" s="361" t="s">
        <v>997</v>
      </c>
      <c r="D354" s="360">
        <v>795225</v>
      </c>
      <c r="E354" s="360">
        <v>795225</v>
      </c>
      <c r="F354" s="360">
        <v>795528</v>
      </c>
      <c r="G354" s="360">
        <v>803546</v>
      </c>
      <c r="H354" s="360">
        <v>811681</v>
      </c>
    </row>
    <row r="355" spans="1:8" x14ac:dyDescent="0.2">
      <c r="A355" s="359" t="s">
        <v>998</v>
      </c>
      <c r="B355" s="359"/>
      <c r="C355" s="359" t="s">
        <v>999</v>
      </c>
      <c r="D355" s="360">
        <v>138028</v>
      </c>
      <c r="E355" s="360">
        <v>138028</v>
      </c>
      <c r="F355" s="360">
        <v>138237</v>
      </c>
      <c r="G355" s="360">
        <v>138919</v>
      </c>
      <c r="H355" s="360">
        <v>140567</v>
      </c>
    </row>
    <row r="356" spans="1:8" x14ac:dyDescent="0.2">
      <c r="A356" s="359" t="s">
        <v>1000</v>
      </c>
      <c r="B356" s="359"/>
      <c r="C356" s="359" t="s">
        <v>1001</v>
      </c>
      <c r="D356" s="360">
        <v>98786</v>
      </c>
      <c r="E356" s="360">
        <v>98786</v>
      </c>
      <c r="F356" s="360">
        <v>98727</v>
      </c>
      <c r="G356" s="360">
        <v>98292</v>
      </c>
      <c r="H356" s="360">
        <v>98128</v>
      </c>
    </row>
    <row r="357" spans="1:8" x14ac:dyDescent="0.2">
      <c r="A357" s="359" t="s">
        <v>1002</v>
      </c>
      <c r="B357" s="359"/>
      <c r="C357" s="359" t="s">
        <v>1003</v>
      </c>
      <c r="D357" s="360">
        <v>115507</v>
      </c>
      <c r="E357" s="360">
        <v>115507</v>
      </c>
      <c r="F357" s="360">
        <v>115416</v>
      </c>
      <c r="G357" s="360">
        <v>115247</v>
      </c>
      <c r="H357" s="360">
        <v>115009</v>
      </c>
    </row>
    <row r="358" spans="1:8" x14ac:dyDescent="0.2">
      <c r="A358" s="359" t="s">
        <v>1004</v>
      </c>
      <c r="B358" s="359"/>
      <c r="C358" s="359" t="s">
        <v>1005</v>
      </c>
      <c r="D358" s="360">
        <v>120877</v>
      </c>
      <c r="E358" s="360">
        <v>120877</v>
      </c>
      <c r="F358" s="360">
        <v>121060</v>
      </c>
      <c r="G358" s="360">
        <v>121306</v>
      </c>
      <c r="H358" s="360">
        <v>121935</v>
      </c>
    </row>
    <row r="359" spans="1:8" x14ac:dyDescent="0.2">
      <c r="A359" s="359" t="s">
        <v>1006</v>
      </c>
      <c r="B359" s="359"/>
      <c r="C359" s="359" t="s">
        <v>1007</v>
      </c>
      <c r="D359" s="360">
        <v>439811</v>
      </c>
      <c r="E359" s="360">
        <v>439811</v>
      </c>
      <c r="F359" s="360">
        <v>441155</v>
      </c>
      <c r="G359" s="360">
        <v>444880</v>
      </c>
      <c r="H359" s="360">
        <v>447193</v>
      </c>
    </row>
    <row r="360" spans="1:8" x14ac:dyDescent="0.2">
      <c r="A360" s="359" t="s">
        <v>1008</v>
      </c>
      <c r="B360" s="359"/>
      <c r="C360" s="359" t="s">
        <v>1009</v>
      </c>
      <c r="D360" s="360">
        <v>131346</v>
      </c>
      <c r="E360" s="360">
        <v>131346</v>
      </c>
      <c r="F360" s="360">
        <v>131627</v>
      </c>
      <c r="G360" s="360">
        <v>132770</v>
      </c>
      <c r="H360" s="360">
        <v>132088</v>
      </c>
    </row>
    <row r="361" spans="1:8" x14ac:dyDescent="0.2">
      <c r="A361" s="359" t="s">
        <v>1010</v>
      </c>
      <c r="B361" s="359"/>
      <c r="C361" s="359" t="s">
        <v>1011</v>
      </c>
      <c r="D361" s="360">
        <v>168563</v>
      </c>
      <c r="E361" s="360">
        <v>168563</v>
      </c>
      <c r="F361" s="360">
        <v>168825</v>
      </c>
      <c r="G361" s="360">
        <v>168939</v>
      </c>
      <c r="H361" s="360">
        <v>168921</v>
      </c>
    </row>
    <row r="362" spans="1:8" x14ac:dyDescent="0.2">
      <c r="A362" s="359" t="s">
        <v>1012</v>
      </c>
      <c r="B362" s="359"/>
      <c r="C362" s="359" t="s">
        <v>1013</v>
      </c>
      <c r="D362" s="360">
        <v>228261</v>
      </c>
      <c r="E362" s="360">
        <v>228264</v>
      </c>
      <c r="F362" s="360">
        <v>229173</v>
      </c>
      <c r="G362" s="360">
        <v>232446</v>
      </c>
      <c r="H362" s="360">
        <v>237251</v>
      </c>
    </row>
    <row r="363" spans="1:8" x14ac:dyDescent="0.2">
      <c r="A363" s="359" t="s">
        <v>1014</v>
      </c>
      <c r="B363" s="359"/>
      <c r="C363" s="359" t="s">
        <v>1015</v>
      </c>
      <c r="D363" s="360">
        <v>319224</v>
      </c>
      <c r="E363" s="360">
        <v>319222</v>
      </c>
      <c r="F363" s="360">
        <v>319008</v>
      </c>
      <c r="G363" s="360">
        <v>319235</v>
      </c>
      <c r="H363" s="360">
        <v>318586</v>
      </c>
    </row>
    <row r="364" spans="1:8" x14ac:dyDescent="0.2">
      <c r="A364" s="359" t="s">
        <v>1016</v>
      </c>
      <c r="B364" s="359"/>
      <c r="C364" s="359" t="s">
        <v>1017</v>
      </c>
      <c r="D364" s="360">
        <v>313268</v>
      </c>
      <c r="E364" s="360">
        <v>313268</v>
      </c>
      <c r="F364" s="360">
        <v>313555</v>
      </c>
      <c r="G364" s="360">
        <v>314886</v>
      </c>
      <c r="H364" s="360">
        <v>316997</v>
      </c>
    </row>
    <row r="365" spans="1:8" x14ac:dyDescent="0.2">
      <c r="A365" s="359" t="s">
        <v>1018</v>
      </c>
      <c r="B365" s="359"/>
      <c r="C365" s="359" t="s">
        <v>1019</v>
      </c>
      <c r="D365" s="360">
        <v>527753</v>
      </c>
      <c r="E365" s="360">
        <v>527753</v>
      </c>
      <c r="F365" s="360">
        <v>528615</v>
      </c>
      <c r="G365" s="360">
        <v>529907</v>
      </c>
      <c r="H365" s="360">
        <v>532253</v>
      </c>
    </row>
    <row r="366" spans="1:8" x14ac:dyDescent="0.2">
      <c r="A366" s="359" t="s">
        <v>1020</v>
      </c>
      <c r="B366" s="359"/>
      <c r="C366" s="359" t="s">
        <v>1021</v>
      </c>
      <c r="D366" s="360">
        <v>210170</v>
      </c>
      <c r="E366" s="360">
        <v>210170</v>
      </c>
      <c r="F366" s="360">
        <v>210573</v>
      </c>
      <c r="G366" s="360">
        <v>211669</v>
      </c>
      <c r="H366" s="360">
        <v>211993</v>
      </c>
    </row>
    <row r="367" spans="1:8" x14ac:dyDescent="0.2">
      <c r="A367" s="359" t="s">
        <v>1022</v>
      </c>
      <c r="B367" s="359"/>
      <c r="C367" s="359" t="s">
        <v>1023</v>
      </c>
      <c r="D367" s="360">
        <v>621570</v>
      </c>
      <c r="E367" s="360">
        <v>621570</v>
      </c>
      <c r="F367" s="360">
        <v>623193</v>
      </c>
      <c r="G367" s="360">
        <v>625346</v>
      </c>
      <c r="H367" s="360">
        <v>625718</v>
      </c>
    </row>
    <row r="368" spans="1:8" x14ac:dyDescent="0.2">
      <c r="A368" s="359" t="s">
        <v>1024</v>
      </c>
      <c r="B368" s="359"/>
      <c r="C368" s="359" t="s">
        <v>1025</v>
      </c>
      <c r="D368" s="360">
        <v>436712</v>
      </c>
      <c r="E368" s="360">
        <v>436712</v>
      </c>
      <c r="F368" s="360">
        <v>437498</v>
      </c>
      <c r="G368" s="360">
        <v>440317</v>
      </c>
      <c r="H368" s="360">
        <v>444617</v>
      </c>
    </row>
    <row r="369" spans="1:8" x14ac:dyDescent="0.2">
      <c r="A369" s="359" t="s">
        <v>1026</v>
      </c>
      <c r="B369" s="359"/>
      <c r="C369" s="359" t="s">
        <v>1027</v>
      </c>
      <c r="D369" s="360">
        <v>138333</v>
      </c>
      <c r="E369" s="360">
        <v>138333</v>
      </c>
      <c r="F369" s="360">
        <v>138232</v>
      </c>
      <c r="G369" s="360">
        <v>137768</v>
      </c>
      <c r="H369" s="360">
        <v>137206</v>
      </c>
    </row>
    <row r="370" spans="1:8" x14ac:dyDescent="0.2">
      <c r="A370" s="359" t="s">
        <v>1028</v>
      </c>
      <c r="B370" s="359"/>
      <c r="C370" s="359" t="s">
        <v>1029</v>
      </c>
      <c r="D370" s="360">
        <v>153990</v>
      </c>
      <c r="E370" s="360">
        <v>153985</v>
      </c>
      <c r="F370" s="360">
        <v>154193</v>
      </c>
      <c r="G370" s="360">
        <v>154730</v>
      </c>
      <c r="H370" s="360">
        <v>155171</v>
      </c>
    </row>
    <row r="371" spans="1:8" x14ac:dyDescent="0.2">
      <c r="A371" s="359" t="s">
        <v>1030</v>
      </c>
      <c r="B371" s="359"/>
      <c r="C371" s="359" t="s">
        <v>1031</v>
      </c>
      <c r="D371" s="360">
        <v>118502</v>
      </c>
      <c r="E371" s="360">
        <v>118502</v>
      </c>
      <c r="F371" s="360">
        <v>118375</v>
      </c>
      <c r="G371" s="360">
        <v>118921</v>
      </c>
      <c r="H371" s="360">
        <v>118686</v>
      </c>
    </row>
    <row r="372" spans="1:8" x14ac:dyDescent="0.2">
      <c r="A372" s="359" t="s">
        <v>1032</v>
      </c>
      <c r="B372" s="359"/>
      <c r="C372" s="359" t="s">
        <v>1033</v>
      </c>
      <c r="D372" s="360">
        <v>685306</v>
      </c>
      <c r="E372" s="360">
        <v>685308</v>
      </c>
      <c r="F372" s="360">
        <v>687516</v>
      </c>
      <c r="G372" s="360">
        <v>695626</v>
      </c>
      <c r="H372" s="360">
        <v>702612</v>
      </c>
    </row>
    <row r="373" spans="1:8" x14ac:dyDescent="0.2">
      <c r="A373" s="359" t="s">
        <v>1034</v>
      </c>
      <c r="B373" s="359"/>
      <c r="C373" s="359" t="s">
        <v>1035</v>
      </c>
      <c r="D373" s="360">
        <v>107456</v>
      </c>
      <c r="E373" s="360">
        <v>107456</v>
      </c>
      <c r="F373" s="360">
        <v>107532</v>
      </c>
      <c r="G373" s="360">
        <v>107342</v>
      </c>
      <c r="H373" s="360">
        <v>108052</v>
      </c>
    </row>
    <row r="374" spans="1:8" x14ac:dyDescent="0.2">
      <c r="A374" s="359" t="s">
        <v>1036</v>
      </c>
      <c r="B374" s="359"/>
      <c r="C374" s="359" t="s">
        <v>1037</v>
      </c>
      <c r="D374" s="360">
        <v>662577</v>
      </c>
      <c r="E374" s="360">
        <v>662578</v>
      </c>
      <c r="F374" s="360">
        <v>662922</v>
      </c>
      <c r="G374" s="360">
        <v>662431</v>
      </c>
      <c r="H374" s="360">
        <v>660934</v>
      </c>
    </row>
    <row r="375" spans="1:8" x14ac:dyDescent="0.2">
      <c r="A375" s="359" t="s">
        <v>1038</v>
      </c>
      <c r="B375" s="359"/>
      <c r="C375" s="359" t="s">
        <v>1039</v>
      </c>
      <c r="D375" s="360">
        <v>367413</v>
      </c>
      <c r="E375" s="360">
        <v>368770</v>
      </c>
      <c r="F375" s="360">
        <v>369383</v>
      </c>
      <c r="G375" s="360">
        <v>371029</v>
      </c>
      <c r="H375" s="360">
        <v>375371</v>
      </c>
    </row>
    <row r="376" spans="1:8" x14ac:dyDescent="0.2">
      <c r="A376" s="359" t="s">
        <v>1040</v>
      </c>
      <c r="B376" s="359"/>
      <c r="C376" s="359" t="s">
        <v>1041</v>
      </c>
      <c r="D376" s="360">
        <v>2783243</v>
      </c>
      <c r="E376" s="360">
        <v>2783243</v>
      </c>
      <c r="F376" s="360">
        <v>2788833</v>
      </c>
      <c r="G376" s="360">
        <v>2826438</v>
      </c>
      <c r="H376" s="360">
        <v>2842878</v>
      </c>
    </row>
    <row r="377" spans="1:8" x14ac:dyDescent="0.2">
      <c r="A377" s="359" t="s">
        <v>1042</v>
      </c>
      <c r="B377" s="359"/>
      <c r="C377" s="359" t="s">
        <v>1043</v>
      </c>
      <c r="D377" s="360">
        <v>172425</v>
      </c>
      <c r="E377" s="360">
        <v>172423</v>
      </c>
      <c r="F377" s="360">
        <v>172358</v>
      </c>
      <c r="G377" s="360">
        <v>172576</v>
      </c>
      <c r="H377" s="360">
        <v>172493</v>
      </c>
    </row>
    <row r="378" spans="1:8" x14ac:dyDescent="0.2">
      <c r="A378" s="359" t="s">
        <v>1044</v>
      </c>
      <c r="B378" s="359"/>
      <c r="C378" s="359" t="s">
        <v>1045</v>
      </c>
      <c r="D378" s="360">
        <v>149198</v>
      </c>
      <c r="E378" s="360">
        <v>149198</v>
      </c>
      <c r="F378" s="360">
        <v>149341</v>
      </c>
      <c r="G378" s="360">
        <v>149610</v>
      </c>
      <c r="H378" s="360">
        <v>149701</v>
      </c>
    </row>
    <row r="379" spans="1:8" x14ac:dyDescent="0.2">
      <c r="A379" s="359" t="s">
        <v>1046</v>
      </c>
      <c r="B379" s="359"/>
      <c r="C379" s="359" t="s">
        <v>1047</v>
      </c>
      <c r="D379" s="360">
        <v>93420</v>
      </c>
      <c r="E379" s="360">
        <v>93420</v>
      </c>
      <c r="F379" s="360">
        <v>94268</v>
      </c>
      <c r="G379" s="360">
        <v>98237</v>
      </c>
      <c r="H379" s="360">
        <v>101620</v>
      </c>
    </row>
    <row r="380" spans="1:8" x14ac:dyDescent="0.2">
      <c r="A380" s="359" t="s">
        <v>1048</v>
      </c>
      <c r="B380" s="359"/>
      <c r="C380" s="359" t="s">
        <v>1049</v>
      </c>
      <c r="D380" s="360">
        <v>610001</v>
      </c>
      <c r="E380" s="360">
        <v>610001</v>
      </c>
      <c r="F380" s="360">
        <v>609708</v>
      </c>
      <c r="G380" s="360">
        <v>609320</v>
      </c>
      <c r="H380" s="360">
        <v>608711</v>
      </c>
    </row>
    <row r="381" spans="1:8" x14ac:dyDescent="0.2">
      <c r="A381" s="359" t="s">
        <v>1050</v>
      </c>
      <c r="B381" s="359"/>
      <c r="C381" s="359" t="s">
        <v>1051</v>
      </c>
      <c r="D381" s="360">
        <v>233870</v>
      </c>
      <c r="E381" s="360">
        <v>233868</v>
      </c>
      <c r="F381" s="360">
        <v>234263</v>
      </c>
      <c r="G381" s="360">
        <v>234720</v>
      </c>
      <c r="H381" s="360">
        <v>234566</v>
      </c>
    </row>
    <row r="382" spans="1:8" x14ac:dyDescent="0.2">
      <c r="A382" s="359" t="s">
        <v>1052</v>
      </c>
      <c r="B382" s="359"/>
      <c r="C382" s="359" t="s">
        <v>1053</v>
      </c>
      <c r="D382" s="360">
        <v>366513</v>
      </c>
      <c r="E382" s="360">
        <v>366511</v>
      </c>
      <c r="F382" s="360">
        <v>367093</v>
      </c>
      <c r="G382" s="360">
        <v>367306</v>
      </c>
      <c r="H382" s="360">
        <v>368303</v>
      </c>
    </row>
    <row r="383" spans="1:8" x14ac:dyDescent="0.2">
      <c r="A383" s="359" t="s">
        <v>1054</v>
      </c>
      <c r="B383" s="359"/>
      <c r="C383" s="359" t="s">
        <v>1055</v>
      </c>
      <c r="D383" s="360">
        <v>980263</v>
      </c>
      <c r="E383" s="360">
        <v>980263</v>
      </c>
      <c r="F383" s="360">
        <v>981915</v>
      </c>
      <c r="G383" s="360">
        <v>987573</v>
      </c>
      <c r="H383" s="360">
        <v>992394</v>
      </c>
    </row>
    <row r="384" spans="1:8" x14ac:dyDescent="0.2">
      <c r="A384" s="359" t="s">
        <v>1056</v>
      </c>
      <c r="B384" s="359"/>
      <c r="C384" s="359" t="s">
        <v>1057</v>
      </c>
      <c r="D384" s="360">
        <v>937478</v>
      </c>
      <c r="E384" s="360">
        <v>937480</v>
      </c>
      <c r="F384" s="360">
        <v>939968</v>
      </c>
      <c r="G384" s="360">
        <v>945386</v>
      </c>
      <c r="H384" s="360">
        <v>951880</v>
      </c>
    </row>
    <row r="385" spans="1:8" x14ac:dyDescent="0.2">
      <c r="A385" s="359" t="s">
        <v>1058</v>
      </c>
      <c r="B385" s="359"/>
      <c r="C385" s="359" t="s">
        <v>1059</v>
      </c>
      <c r="D385" s="360">
        <v>230162</v>
      </c>
      <c r="E385" s="360">
        <v>230159</v>
      </c>
      <c r="F385" s="360">
        <v>230365</v>
      </c>
      <c r="G385" s="360">
        <v>231560</v>
      </c>
      <c r="H385" s="360">
        <v>233389</v>
      </c>
    </row>
    <row r="386" spans="1:8" x14ac:dyDescent="0.2">
      <c r="A386" s="359" t="s">
        <v>1060</v>
      </c>
      <c r="B386" s="359"/>
      <c r="C386" s="359" t="s">
        <v>1061</v>
      </c>
      <c r="D386" s="360">
        <v>209714</v>
      </c>
      <c r="E386" s="360">
        <v>209714</v>
      </c>
      <c r="F386" s="360">
        <v>210406</v>
      </c>
      <c r="G386" s="360">
        <v>212855</v>
      </c>
      <c r="H386" s="360">
        <v>214821</v>
      </c>
    </row>
    <row r="387" spans="1:8" x14ac:dyDescent="0.2">
      <c r="A387" s="359" t="s">
        <v>1062</v>
      </c>
      <c r="B387" s="359"/>
      <c r="C387" s="359" t="s">
        <v>1063</v>
      </c>
      <c r="D387" s="360">
        <v>953207</v>
      </c>
      <c r="E387" s="360">
        <v>953207</v>
      </c>
      <c r="F387" s="360">
        <v>956481</v>
      </c>
      <c r="G387" s="360">
        <v>966363</v>
      </c>
      <c r="H387" s="360">
        <v>976372</v>
      </c>
    </row>
    <row r="388" spans="1:8" x14ac:dyDescent="0.2">
      <c r="A388" s="359" t="s">
        <v>1064</v>
      </c>
      <c r="B388" s="359"/>
      <c r="C388" s="359" t="s">
        <v>1065</v>
      </c>
      <c r="D388" s="360">
        <v>299397</v>
      </c>
      <c r="E388" s="360">
        <v>299397</v>
      </c>
      <c r="F388" s="360">
        <v>299339</v>
      </c>
      <c r="G388" s="360">
        <v>298767</v>
      </c>
      <c r="H388" s="360">
        <v>298064</v>
      </c>
    </row>
    <row r="389" spans="1:8" x14ac:dyDescent="0.2">
      <c r="A389" s="359" t="s">
        <v>1066</v>
      </c>
      <c r="B389" s="359"/>
      <c r="C389" s="359" t="s">
        <v>1067</v>
      </c>
      <c r="D389" s="360">
        <v>139588</v>
      </c>
      <c r="E389" s="360">
        <v>139584</v>
      </c>
      <c r="F389" s="360">
        <v>140090</v>
      </c>
      <c r="G389" s="360">
        <v>142307</v>
      </c>
      <c r="H389" s="360">
        <v>144343</v>
      </c>
    </row>
    <row r="390" spans="1:8" x14ac:dyDescent="0.2">
      <c r="A390" s="359" t="s">
        <v>1068</v>
      </c>
      <c r="B390" s="359"/>
      <c r="C390" s="359" t="s">
        <v>1069</v>
      </c>
      <c r="D390" s="360">
        <v>413344</v>
      </c>
      <c r="E390" s="360">
        <v>413344</v>
      </c>
      <c r="F390" s="360">
        <v>414095</v>
      </c>
      <c r="G390" s="360">
        <v>416932</v>
      </c>
      <c r="H390" s="360">
        <v>420757</v>
      </c>
    </row>
    <row r="391" spans="1:8" x14ac:dyDescent="0.2">
      <c r="A391" s="359" t="s">
        <v>1070</v>
      </c>
      <c r="B391" s="359"/>
      <c r="C391" s="359" t="s">
        <v>1071</v>
      </c>
      <c r="D391" s="360">
        <v>94003</v>
      </c>
      <c r="E391" s="360">
        <v>94003</v>
      </c>
      <c r="F391" s="360">
        <v>94041</v>
      </c>
      <c r="G391" s="360">
        <v>94675</v>
      </c>
      <c r="H391" s="360">
        <v>96620</v>
      </c>
    </row>
    <row r="392" spans="1:8" x14ac:dyDescent="0.2">
      <c r="A392" s="359" t="s">
        <v>1072</v>
      </c>
      <c r="B392" s="359"/>
      <c r="C392" s="359" t="s">
        <v>1073</v>
      </c>
      <c r="D392" s="360">
        <v>156898</v>
      </c>
      <c r="E392" s="360">
        <v>156898</v>
      </c>
      <c r="F392" s="360">
        <v>157053</v>
      </c>
      <c r="G392" s="360">
        <v>157215</v>
      </c>
      <c r="H392" s="360">
        <v>157785</v>
      </c>
    </row>
    <row r="393" spans="1:8" x14ac:dyDescent="0.2">
      <c r="A393" s="359" t="s">
        <v>1074</v>
      </c>
      <c r="B393" s="359"/>
      <c r="C393" s="359" t="s">
        <v>1075</v>
      </c>
      <c r="D393" s="360">
        <v>1676822</v>
      </c>
      <c r="E393" s="360">
        <v>1676820</v>
      </c>
      <c r="F393" s="360">
        <v>1680394</v>
      </c>
      <c r="G393" s="360">
        <v>1686977</v>
      </c>
      <c r="H393" s="360">
        <v>1699925</v>
      </c>
    </row>
    <row r="394" spans="1:8" x14ac:dyDescent="0.2">
      <c r="A394" s="359" t="s">
        <v>1076</v>
      </c>
      <c r="B394" s="359"/>
      <c r="C394" s="359" t="s">
        <v>1077</v>
      </c>
      <c r="D394" s="360">
        <v>442179</v>
      </c>
      <c r="E394" s="360">
        <v>442179</v>
      </c>
      <c r="F394" s="360">
        <v>443218</v>
      </c>
      <c r="G394" s="360">
        <v>447918</v>
      </c>
      <c r="H394" s="360">
        <v>451977</v>
      </c>
    </row>
    <row r="395" spans="1:8" x14ac:dyDescent="0.2">
      <c r="A395" s="359" t="s">
        <v>1078</v>
      </c>
      <c r="B395" s="359"/>
      <c r="C395" s="359" t="s">
        <v>1079</v>
      </c>
      <c r="D395" s="360">
        <v>252772</v>
      </c>
      <c r="E395" s="360">
        <v>252772</v>
      </c>
      <c r="F395" s="360">
        <v>253759</v>
      </c>
      <c r="G395" s="360">
        <v>255656</v>
      </c>
      <c r="H395" s="360">
        <v>256317</v>
      </c>
    </row>
    <row r="396" spans="1:8" x14ac:dyDescent="0.2">
      <c r="A396" s="359" t="s">
        <v>1080</v>
      </c>
      <c r="B396" s="359"/>
      <c r="C396" s="359" t="s">
        <v>1081</v>
      </c>
      <c r="D396" s="360">
        <v>62859</v>
      </c>
      <c r="E396" s="360">
        <v>62859</v>
      </c>
      <c r="F396" s="360">
        <v>63024</v>
      </c>
      <c r="G396" s="360">
        <v>63500</v>
      </c>
      <c r="H396" s="360">
        <v>63399</v>
      </c>
    </row>
    <row r="397" spans="1:8" x14ac:dyDescent="0.2">
      <c r="A397" s="359" t="s">
        <v>1082</v>
      </c>
      <c r="B397" s="359"/>
      <c r="C397" s="359" t="s">
        <v>1083</v>
      </c>
      <c r="D397" s="360">
        <v>179605</v>
      </c>
      <c r="E397" s="360">
        <v>179605</v>
      </c>
      <c r="F397" s="360">
        <v>180452</v>
      </c>
      <c r="G397" s="360">
        <v>183644</v>
      </c>
      <c r="H397" s="360">
        <v>185478</v>
      </c>
    </row>
    <row r="398" spans="1:8" x14ac:dyDescent="0.2">
      <c r="A398" s="359" t="s">
        <v>1084</v>
      </c>
      <c r="B398" s="359"/>
      <c r="C398" s="359" t="s">
        <v>1085</v>
      </c>
      <c r="D398" s="360">
        <v>5636232</v>
      </c>
      <c r="E398" s="360">
        <v>5636232</v>
      </c>
      <c r="F398" s="360">
        <v>5665604</v>
      </c>
      <c r="G398" s="360">
        <v>5771213</v>
      </c>
      <c r="H398" s="360">
        <v>5860342</v>
      </c>
    </row>
    <row r="399" spans="1:8" x14ac:dyDescent="0.2">
      <c r="A399" s="359" t="s">
        <v>1084</v>
      </c>
      <c r="B399" s="359" t="s">
        <v>1086</v>
      </c>
      <c r="C399" s="361" t="s">
        <v>1087</v>
      </c>
      <c r="D399" s="360">
        <v>1205162</v>
      </c>
      <c r="E399" s="360">
        <v>1205162</v>
      </c>
      <c r="F399" s="360">
        <v>1210226</v>
      </c>
      <c r="G399" s="360">
        <v>1228954</v>
      </c>
      <c r="H399" s="360">
        <v>1244291</v>
      </c>
    </row>
    <row r="400" spans="1:8" x14ac:dyDescent="0.2">
      <c r="A400" s="359" t="s">
        <v>1084</v>
      </c>
      <c r="B400" s="359" t="s">
        <v>1088</v>
      </c>
      <c r="C400" s="361" t="s">
        <v>1089</v>
      </c>
      <c r="D400" s="360">
        <v>4431070</v>
      </c>
      <c r="E400" s="360">
        <v>4431070</v>
      </c>
      <c r="F400" s="360">
        <v>4455378</v>
      </c>
      <c r="G400" s="360">
        <v>4542259</v>
      </c>
      <c r="H400" s="360">
        <v>4616051</v>
      </c>
    </row>
    <row r="401" spans="1:8" x14ac:dyDescent="0.2">
      <c r="A401" s="359" t="s">
        <v>1090</v>
      </c>
      <c r="B401" s="359"/>
      <c r="C401" s="359" t="s">
        <v>1091</v>
      </c>
      <c r="D401" s="360">
        <v>167819</v>
      </c>
      <c r="E401" s="360">
        <v>167819</v>
      </c>
      <c r="F401" s="360">
        <v>167924</v>
      </c>
      <c r="G401" s="360">
        <v>168219</v>
      </c>
      <c r="H401" s="360">
        <v>168747</v>
      </c>
    </row>
    <row r="402" spans="1:8" x14ac:dyDescent="0.2">
      <c r="A402" s="359" t="s">
        <v>1092</v>
      </c>
      <c r="B402" s="359"/>
      <c r="C402" s="359" t="s">
        <v>1093</v>
      </c>
      <c r="D402" s="360">
        <v>116229</v>
      </c>
      <c r="E402" s="360">
        <v>116229</v>
      </c>
      <c r="F402" s="360">
        <v>116572</v>
      </c>
      <c r="G402" s="360">
        <v>118163</v>
      </c>
      <c r="H402" s="360">
        <v>120262</v>
      </c>
    </row>
    <row r="403" spans="1:8" x14ac:dyDescent="0.2">
      <c r="A403" s="359" t="s">
        <v>1094</v>
      </c>
      <c r="B403" s="359"/>
      <c r="C403" s="359" t="s">
        <v>1095</v>
      </c>
      <c r="D403" s="360">
        <v>134063</v>
      </c>
      <c r="E403" s="360">
        <v>134063</v>
      </c>
      <c r="F403" s="360">
        <v>134089</v>
      </c>
      <c r="G403" s="360">
        <v>134552</v>
      </c>
      <c r="H403" s="360">
        <v>134735</v>
      </c>
    </row>
    <row r="404" spans="1:8" x14ac:dyDescent="0.2">
      <c r="A404" s="359" t="s">
        <v>1096</v>
      </c>
      <c r="B404" s="359"/>
      <c r="C404" s="359" t="s">
        <v>1097</v>
      </c>
      <c r="D404" s="360">
        <v>124454</v>
      </c>
      <c r="E404" s="360">
        <v>124454</v>
      </c>
      <c r="F404" s="360">
        <v>124231</v>
      </c>
      <c r="G404" s="360">
        <v>123322</v>
      </c>
      <c r="H404" s="360">
        <v>122547</v>
      </c>
    </row>
    <row r="405" spans="1:8" x14ac:dyDescent="0.2">
      <c r="A405" s="359" t="s">
        <v>1098</v>
      </c>
      <c r="B405" s="359"/>
      <c r="C405" s="359" t="s">
        <v>1099</v>
      </c>
      <c r="D405" s="360">
        <v>110884</v>
      </c>
      <c r="E405" s="360">
        <v>110887</v>
      </c>
      <c r="F405" s="360">
        <v>111270</v>
      </c>
      <c r="G405" s="360">
        <v>112048</v>
      </c>
      <c r="H405" s="360">
        <v>113037</v>
      </c>
    </row>
    <row r="406" spans="1:8" x14ac:dyDescent="0.2">
      <c r="A406" s="359" t="s">
        <v>1100</v>
      </c>
      <c r="B406" s="359"/>
      <c r="C406" s="359" t="s">
        <v>1101</v>
      </c>
      <c r="D406" s="360">
        <v>147950</v>
      </c>
      <c r="E406" s="360">
        <v>147950</v>
      </c>
      <c r="F406" s="360">
        <v>147864</v>
      </c>
      <c r="G406" s="360">
        <v>147143</v>
      </c>
      <c r="H406" s="360">
        <v>146420</v>
      </c>
    </row>
    <row r="407" spans="1:8" x14ac:dyDescent="0.2">
      <c r="A407" s="359" t="s">
        <v>1102</v>
      </c>
      <c r="B407" s="359"/>
      <c r="C407" s="359" t="s">
        <v>1103</v>
      </c>
      <c r="D407" s="360">
        <v>630919</v>
      </c>
      <c r="E407" s="360">
        <v>630919</v>
      </c>
      <c r="F407" s="360">
        <v>631975</v>
      </c>
      <c r="G407" s="360">
        <v>633344</v>
      </c>
      <c r="H407" s="360">
        <v>636105</v>
      </c>
    </row>
    <row r="408" spans="1:8" x14ac:dyDescent="0.2">
      <c r="A408" s="359" t="s">
        <v>1104</v>
      </c>
      <c r="B408" s="359"/>
      <c r="C408" s="359" t="s">
        <v>1105</v>
      </c>
      <c r="D408" s="360">
        <v>151306</v>
      </c>
      <c r="E408" s="360">
        <v>151306</v>
      </c>
      <c r="F408" s="360">
        <v>151428</v>
      </c>
      <c r="G408" s="360">
        <v>150092</v>
      </c>
      <c r="H408" s="360">
        <v>150829</v>
      </c>
    </row>
    <row r="409" spans="1:8" x14ac:dyDescent="0.2">
      <c r="A409" s="359" t="s">
        <v>1106</v>
      </c>
      <c r="B409" s="359"/>
      <c r="C409" s="359" t="s">
        <v>1107</v>
      </c>
      <c r="D409" s="360">
        <v>116111</v>
      </c>
      <c r="E409" s="360">
        <v>116108</v>
      </c>
      <c r="F409" s="360">
        <v>116159</v>
      </c>
      <c r="G409" s="360">
        <v>116678</v>
      </c>
      <c r="H409" s="360">
        <v>117168</v>
      </c>
    </row>
    <row r="410" spans="1:8" x14ac:dyDescent="0.2">
      <c r="A410" s="359" t="s">
        <v>1108</v>
      </c>
      <c r="B410" s="359"/>
      <c r="C410" s="359" t="s">
        <v>1109</v>
      </c>
      <c r="D410" s="360">
        <v>254884</v>
      </c>
      <c r="E410" s="360">
        <v>254884</v>
      </c>
      <c r="F410" s="360">
        <v>255684</v>
      </c>
      <c r="G410" s="360">
        <v>259431</v>
      </c>
      <c r="H410" s="360">
        <v>263429</v>
      </c>
    </row>
    <row r="411" spans="1:8" x14ac:dyDescent="0.2">
      <c r="A411" s="359" t="s">
        <v>1110</v>
      </c>
      <c r="B411" s="359"/>
      <c r="C411" s="359" t="s">
        <v>1111</v>
      </c>
      <c r="D411" s="360">
        <v>128472</v>
      </c>
      <c r="E411" s="360">
        <v>128472</v>
      </c>
      <c r="F411" s="360">
        <v>128718</v>
      </c>
      <c r="G411" s="360">
        <v>129905</v>
      </c>
      <c r="H411" s="360">
        <v>130907</v>
      </c>
    </row>
    <row r="412" spans="1:8" x14ac:dyDescent="0.2">
      <c r="A412" s="359" t="s">
        <v>1112</v>
      </c>
      <c r="B412" s="359"/>
      <c r="C412" s="359" t="s">
        <v>1113</v>
      </c>
      <c r="D412" s="360">
        <v>640595</v>
      </c>
      <c r="E412" s="360">
        <v>640577</v>
      </c>
      <c r="F412" s="360">
        <v>641320</v>
      </c>
      <c r="G412" s="360">
        <v>644393</v>
      </c>
      <c r="H412" s="360">
        <v>647697</v>
      </c>
    </row>
    <row r="413" spans="1:8" x14ac:dyDescent="0.2">
      <c r="A413" s="359" t="s">
        <v>1114</v>
      </c>
      <c r="B413" s="359"/>
      <c r="C413" s="359" t="s">
        <v>1115</v>
      </c>
      <c r="D413" s="360">
        <v>916980</v>
      </c>
      <c r="E413" s="360">
        <v>916980</v>
      </c>
      <c r="F413" s="360">
        <v>918766</v>
      </c>
      <c r="G413" s="360">
        <v>921990</v>
      </c>
      <c r="H413" s="360">
        <v>923762</v>
      </c>
    </row>
    <row r="414" spans="1:8" x14ac:dyDescent="0.2">
      <c r="A414" s="359" t="s">
        <v>1116</v>
      </c>
      <c r="B414" s="359"/>
      <c r="C414" s="359" t="s">
        <v>1117</v>
      </c>
      <c r="D414" s="360">
        <v>243231</v>
      </c>
      <c r="E414" s="360">
        <v>243231</v>
      </c>
      <c r="F414" s="360">
        <v>244258</v>
      </c>
      <c r="G414" s="360">
        <v>246157</v>
      </c>
      <c r="H414" s="360">
        <v>246977</v>
      </c>
    </row>
    <row r="415" spans="1:8" x14ac:dyDescent="0.2">
      <c r="A415" s="359" t="s">
        <v>1118</v>
      </c>
      <c r="B415" s="359"/>
      <c r="C415" s="359" t="s">
        <v>1119</v>
      </c>
      <c r="D415" s="360">
        <v>434972</v>
      </c>
      <c r="E415" s="360">
        <v>434972</v>
      </c>
      <c r="F415" s="360">
        <v>435586</v>
      </c>
      <c r="G415" s="360">
        <v>437040</v>
      </c>
      <c r="H415" s="360">
        <v>437846</v>
      </c>
    </row>
    <row r="416" spans="1:8" x14ac:dyDescent="0.2">
      <c r="A416" s="359" t="s">
        <v>1120</v>
      </c>
      <c r="B416" s="359"/>
      <c r="C416" s="359" t="s">
        <v>1121</v>
      </c>
      <c r="D416" s="360">
        <v>565773</v>
      </c>
      <c r="E416" s="360">
        <v>565773</v>
      </c>
      <c r="F416" s="360">
        <v>564830</v>
      </c>
      <c r="G416" s="360">
        <v>561697</v>
      </c>
      <c r="H416" s="360">
        <v>558206</v>
      </c>
    </row>
    <row r="417" spans="1:8" x14ac:dyDescent="0.2">
      <c r="A417" s="359" t="s">
        <v>1122</v>
      </c>
      <c r="B417" s="359"/>
      <c r="C417" s="359" t="s">
        <v>1123</v>
      </c>
      <c r="D417" s="360">
        <v>166892</v>
      </c>
      <c r="E417" s="360">
        <v>166892</v>
      </c>
      <c r="F417" s="360">
        <v>167245</v>
      </c>
      <c r="G417" s="360">
        <v>167498</v>
      </c>
      <c r="H417" s="360">
        <v>167948</v>
      </c>
    </row>
    <row r="418" spans="1:8" x14ac:dyDescent="0.2">
      <c r="A418" s="359" t="s">
        <v>1124</v>
      </c>
      <c r="B418" s="359"/>
      <c r="C418" s="359" t="s">
        <v>1125</v>
      </c>
      <c r="D418" s="360">
        <v>195751</v>
      </c>
      <c r="E418" s="360">
        <v>195750</v>
      </c>
      <c r="F418" s="360">
        <v>196786</v>
      </c>
      <c r="G418" s="360">
        <v>200374</v>
      </c>
      <c r="H418" s="360">
        <v>200022</v>
      </c>
    </row>
    <row r="419" spans="1:8" x14ac:dyDescent="0.2">
      <c r="A419" s="362"/>
      <c r="B419" s="362"/>
      <c r="C419" s="362"/>
      <c r="D419" s="363"/>
      <c r="E419" s="363"/>
      <c r="F419" s="363"/>
      <c r="G419" s="363"/>
      <c r="H419" s="363"/>
    </row>
    <row r="420" spans="1:8" x14ac:dyDescent="0.2">
      <c r="A420" s="359"/>
      <c r="B420" s="359"/>
      <c r="C420" s="357" t="s">
        <v>1126</v>
      </c>
      <c r="D420" s="360"/>
      <c r="E420" s="360"/>
      <c r="F420" s="360"/>
      <c r="G420" s="360"/>
      <c r="H420" s="360"/>
    </row>
    <row r="421" spans="1:8" x14ac:dyDescent="0.2">
      <c r="A421" s="359" t="s">
        <v>1127</v>
      </c>
      <c r="B421" s="359"/>
      <c r="C421" s="359" t="s">
        <v>1128</v>
      </c>
      <c r="D421" s="360">
        <v>40602</v>
      </c>
      <c r="E421" s="360">
        <v>40602</v>
      </c>
      <c r="F421" s="360">
        <v>40688</v>
      </c>
      <c r="G421" s="360">
        <v>40883</v>
      </c>
      <c r="H421" s="360">
        <v>41357</v>
      </c>
    </row>
    <row r="422" spans="1:8" x14ac:dyDescent="0.2">
      <c r="A422" s="359" t="s">
        <v>1129</v>
      </c>
      <c r="B422" s="359"/>
      <c r="C422" s="359" t="s">
        <v>1130</v>
      </c>
      <c r="D422" s="360">
        <v>72797</v>
      </c>
      <c r="E422" s="360">
        <v>72797</v>
      </c>
      <c r="F422" s="360">
        <v>72859</v>
      </c>
      <c r="G422" s="360">
        <v>72316</v>
      </c>
      <c r="H422" s="360">
        <v>71692</v>
      </c>
    </row>
    <row r="423" spans="1:8" x14ac:dyDescent="0.2">
      <c r="A423" s="359" t="s">
        <v>1131</v>
      </c>
      <c r="B423" s="359"/>
      <c r="C423" s="359" t="s">
        <v>1132</v>
      </c>
      <c r="D423" s="360">
        <v>37492</v>
      </c>
      <c r="E423" s="360">
        <v>37492</v>
      </c>
      <c r="F423" s="360">
        <v>37587</v>
      </c>
      <c r="G423" s="360">
        <v>37676</v>
      </c>
      <c r="H423" s="360">
        <v>37958</v>
      </c>
    </row>
    <row r="424" spans="1:8" x14ac:dyDescent="0.2">
      <c r="A424" s="359" t="s">
        <v>1133</v>
      </c>
      <c r="B424" s="359"/>
      <c r="C424" s="359" t="s">
        <v>1134</v>
      </c>
      <c r="D424" s="360">
        <v>99892</v>
      </c>
      <c r="E424" s="360">
        <v>99892</v>
      </c>
      <c r="F424" s="360">
        <v>99646</v>
      </c>
      <c r="G424" s="360">
        <v>99340</v>
      </c>
      <c r="H424" s="360">
        <v>98987</v>
      </c>
    </row>
    <row r="425" spans="1:8" x14ac:dyDescent="0.2">
      <c r="A425" s="359" t="s">
        <v>1135</v>
      </c>
      <c r="B425" s="359"/>
      <c r="C425" s="359" t="s">
        <v>1136</v>
      </c>
      <c r="D425" s="360">
        <v>63797</v>
      </c>
      <c r="E425" s="360">
        <v>63797</v>
      </c>
      <c r="F425" s="360">
        <v>64319</v>
      </c>
      <c r="G425" s="360">
        <v>65558</v>
      </c>
      <c r="H425" s="360">
        <v>66041</v>
      </c>
    </row>
    <row r="426" spans="1:8" x14ac:dyDescent="0.2">
      <c r="A426" s="359" t="s">
        <v>1137</v>
      </c>
      <c r="B426" s="359"/>
      <c r="C426" s="359" t="s">
        <v>1138</v>
      </c>
      <c r="D426" s="360">
        <v>60585</v>
      </c>
      <c r="E426" s="360">
        <v>60585</v>
      </c>
      <c r="F426" s="360">
        <v>60529</v>
      </c>
      <c r="G426" s="360">
        <v>60428</v>
      </c>
      <c r="H426" s="360">
        <v>60576</v>
      </c>
    </row>
    <row r="427" spans="1:8" x14ac:dyDescent="0.2">
      <c r="A427" s="359" t="s">
        <v>1139</v>
      </c>
      <c r="B427" s="359"/>
      <c r="C427" s="359" t="s">
        <v>1140</v>
      </c>
      <c r="D427" s="360">
        <v>31255</v>
      </c>
      <c r="E427" s="360">
        <v>31255</v>
      </c>
      <c r="F427" s="360">
        <v>31214</v>
      </c>
      <c r="G427" s="360">
        <v>31090</v>
      </c>
      <c r="H427" s="360">
        <v>31054</v>
      </c>
    </row>
    <row r="428" spans="1:8" x14ac:dyDescent="0.2">
      <c r="A428" s="359" t="s">
        <v>1141</v>
      </c>
      <c r="B428" s="359"/>
      <c r="C428" s="359" t="s">
        <v>1142</v>
      </c>
      <c r="D428" s="360">
        <v>93019</v>
      </c>
      <c r="E428" s="360">
        <v>93019</v>
      </c>
      <c r="F428" s="360">
        <v>93185</v>
      </c>
      <c r="G428" s="360">
        <v>94102</v>
      </c>
      <c r="H428" s="360">
        <v>94776</v>
      </c>
    </row>
    <row r="429" spans="1:8" x14ac:dyDescent="0.2">
      <c r="A429" s="359" t="s">
        <v>1143</v>
      </c>
      <c r="B429" s="359"/>
      <c r="C429" s="359" t="s">
        <v>1144</v>
      </c>
      <c r="D429" s="360">
        <v>36009</v>
      </c>
      <c r="E429" s="360">
        <v>36009</v>
      </c>
      <c r="F429" s="360">
        <v>36002</v>
      </c>
      <c r="G429" s="360">
        <v>36233</v>
      </c>
      <c r="H429" s="360">
        <v>36415</v>
      </c>
    </row>
    <row r="430" spans="1:8" x14ac:dyDescent="0.2">
      <c r="A430" s="359" t="s">
        <v>1145</v>
      </c>
      <c r="B430" s="359"/>
      <c r="C430" s="359" t="s">
        <v>1146</v>
      </c>
      <c r="D430" s="360">
        <v>40838</v>
      </c>
      <c r="E430" s="360">
        <v>40837</v>
      </c>
      <c r="F430" s="360">
        <v>40892</v>
      </c>
      <c r="G430" s="360">
        <v>41235</v>
      </c>
      <c r="H430" s="360">
        <v>41754</v>
      </c>
    </row>
    <row r="431" spans="1:8" x14ac:dyDescent="0.2">
      <c r="A431" s="359" t="s">
        <v>1147</v>
      </c>
      <c r="B431" s="359"/>
      <c r="C431" s="359" t="s">
        <v>1148</v>
      </c>
      <c r="D431" s="360">
        <v>42476</v>
      </c>
      <c r="E431" s="360">
        <v>42476</v>
      </c>
      <c r="F431" s="360">
        <v>42439</v>
      </c>
      <c r="G431" s="360">
        <v>42139</v>
      </c>
      <c r="H431" s="360">
        <v>42063</v>
      </c>
    </row>
    <row r="432" spans="1:8" x14ac:dyDescent="0.2">
      <c r="A432" s="359" t="s">
        <v>1149</v>
      </c>
      <c r="B432" s="359"/>
      <c r="C432" s="359" t="s">
        <v>1150</v>
      </c>
      <c r="D432" s="360">
        <v>29598</v>
      </c>
      <c r="E432" s="360">
        <v>29598</v>
      </c>
      <c r="F432" s="360">
        <v>29551</v>
      </c>
      <c r="G432" s="360">
        <v>29352</v>
      </c>
      <c r="H432" s="360">
        <v>29234</v>
      </c>
    </row>
    <row r="433" spans="1:8" x14ac:dyDescent="0.2">
      <c r="A433" s="359" t="s">
        <v>1151</v>
      </c>
      <c r="B433" s="359"/>
      <c r="C433" s="359" t="s">
        <v>1152</v>
      </c>
      <c r="D433" s="360">
        <v>26446</v>
      </c>
      <c r="E433" s="360">
        <v>26446</v>
      </c>
      <c r="F433" s="360">
        <v>26458</v>
      </c>
      <c r="G433" s="360">
        <v>26386</v>
      </c>
      <c r="H433" s="360">
        <v>26237</v>
      </c>
    </row>
    <row r="434" spans="1:8" x14ac:dyDescent="0.2">
      <c r="A434" s="359" t="s">
        <v>1153</v>
      </c>
      <c r="B434" s="359"/>
      <c r="C434" s="359" t="s">
        <v>1154</v>
      </c>
      <c r="D434" s="360">
        <v>37829</v>
      </c>
      <c r="E434" s="360">
        <v>37827</v>
      </c>
      <c r="F434" s="360">
        <v>37739</v>
      </c>
      <c r="G434" s="360">
        <v>37134</v>
      </c>
      <c r="H434" s="360">
        <v>36544</v>
      </c>
    </row>
    <row r="435" spans="1:8" x14ac:dyDescent="0.2">
      <c r="A435" s="359" t="s">
        <v>1155</v>
      </c>
      <c r="B435" s="359"/>
      <c r="C435" s="359" t="s">
        <v>1156</v>
      </c>
      <c r="D435" s="360">
        <v>50219</v>
      </c>
      <c r="E435" s="360">
        <v>50219</v>
      </c>
      <c r="F435" s="360">
        <v>50246</v>
      </c>
      <c r="G435" s="360">
        <v>49987</v>
      </c>
      <c r="H435" s="360">
        <v>49941</v>
      </c>
    </row>
    <row r="436" spans="1:8" x14ac:dyDescent="0.2">
      <c r="A436" s="359" t="s">
        <v>1157</v>
      </c>
      <c r="B436" s="359"/>
      <c r="C436" s="359" t="s">
        <v>1158</v>
      </c>
      <c r="D436" s="360">
        <v>14786</v>
      </c>
      <c r="E436" s="360">
        <v>14786</v>
      </c>
      <c r="F436" s="360">
        <v>14820</v>
      </c>
      <c r="G436" s="360">
        <v>15394</v>
      </c>
      <c r="H436" s="360">
        <v>16117</v>
      </c>
    </row>
    <row r="437" spans="1:8" x14ac:dyDescent="0.2">
      <c r="A437" s="359" t="s">
        <v>1159</v>
      </c>
      <c r="B437" s="359"/>
      <c r="C437" s="359" t="s">
        <v>1160</v>
      </c>
      <c r="D437" s="360">
        <v>34185</v>
      </c>
      <c r="E437" s="360">
        <v>34185</v>
      </c>
      <c r="F437" s="360">
        <v>34141</v>
      </c>
      <c r="G437" s="360">
        <v>34064</v>
      </c>
      <c r="H437" s="360">
        <v>34124</v>
      </c>
    </row>
    <row r="438" spans="1:8" x14ac:dyDescent="0.2">
      <c r="A438" s="359" t="s">
        <v>1161</v>
      </c>
      <c r="B438" s="359"/>
      <c r="C438" s="359" t="s">
        <v>1162</v>
      </c>
      <c r="D438" s="360">
        <v>34862</v>
      </c>
      <c r="E438" s="360">
        <v>34862</v>
      </c>
      <c r="F438" s="360">
        <v>34891</v>
      </c>
      <c r="G438" s="360">
        <v>34573</v>
      </c>
      <c r="H438" s="360">
        <v>34712</v>
      </c>
    </row>
    <row r="439" spans="1:8" x14ac:dyDescent="0.2">
      <c r="A439" s="359" t="s">
        <v>1163</v>
      </c>
      <c r="B439" s="359"/>
      <c r="C439" s="359" t="s">
        <v>1164</v>
      </c>
      <c r="D439" s="360">
        <v>47557</v>
      </c>
      <c r="E439" s="360">
        <v>47563</v>
      </c>
      <c r="F439" s="360">
        <v>47633</v>
      </c>
      <c r="G439" s="360">
        <v>47964</v>
      </c>
      <c r="H439" s="360">
        <v>48085</v>
      </c>
    </row>
    <row r="440" spans="1:8" x14ac:dyDescent="0.2">
      <c r="A440" s="359" t="s">
        <v>1165</v>
      </c>
      <c r="B440" s="359"/>
      <c r="C440" s="359" t="s">
        <v>1166</v>
      </c>
      <c r="D440" s="360">
        <v>22995</v>
      </c>
      <c r="E440" s="360">
        <v>22995</v>
      </c>
      <c r="F440" s="360">
        <v>22954</v>
      </c>
      <c r="G440" s="360">
        <v>22986</v>
      </c>
      <c r="H440" s="360">
        <v>22936</v>
      </c>
    </row>
    <row r="441" spans="1:8" x14ac:dyDescent="0.2">
      <c r="A441" s="359" t="s">
        <v>1167</v>
      </c>
      <c r="B441" s="359"/>
      <c r="C441" s="359" t="s">
        <v>1168</v>
      </c>
      <c r="D441" s="360">
        <v>36311</v>
      </c>
      <c r="E441" s="360">
        <v>36311</v>
      </c>
      <c r="F441" s="360">
        <v>36292</v>
      </c>
      <c r="G441" s="360">
        <v>36238</v>
      </c>
      <c r="H441" s="360">
        <v>36288</v>
      </c>
    </row>
    <row r="442" spans="1:8" x14ac:dyDescent="0.2">
      <c r="A442" s="359" t="s">
        <v>1169</v>
      </c>
      <c r="B442" s="359"/>
      <c r="C442" s="359" t="s">
        <v>1170</v>
      </c>
      <c r="D442" s="360">
        <v>53139</v>
      </c>
      <c r="E442" s="360">
        <v>53139</v>
      </c>
      <c r="F442" s="360">
        <v>53161</v>
      </c>
      <c r="G442" s="360">
        <v>53088</v>
      </c>
      <c r="H442" s="360">
        <v>52962</v>
      </c>
    </row>
    <row r="443" spans="1:8" x14ac:dyDescent="0.2">
      <c r="A443" s="359" t="s">
        <v>1171</v>
      </c>
      <c r="B443" s="359"/>
      <c r="C443" s="359" t="s">
        <v>1172</v>
      </c>
      <c r="D443" s="360">
        <v>101497</v>
      </c>
      <c r="E443" s="360">
        <v>101497</v>
      </c>
      <c r="F443" s="360">
        <v>101425</v>
      </c>
      <c r="G443" s="360">
        <v>101086</v>
      </c>
      <c r="H443" s="360">
        <v>100389</v>
      </c>
    </row>
    <row r="444" spans="1:8" x14ac:dyDescent="0.2">
      <c r="A444" s="359" t="s">
        <v>1173</v>
      </c>
      <c r="B444" s="359"/>
      <c r="C444" s="359" t="s">
        <v>1174</v>
      </c>
      <c r="D444" s="360">
        <v>37039</v>
      </c>
      <c r="E444" s="360">
        <v>37039</v>
      </c>
      <c r="F444" s="360">
        <v>37073</v>
      </c>
      <c r="G444" s="360">
        <v>37171</v>
      </c>
      <c r="H444" s="360">
        <v>37301</v>
      </c>
    </row>
    <row r="445" spans="1:8" x14ac:dyDescent="0.2">
      <c r="A445" s="359" t="s">
        <v>1175</v>
      </c>
      <c r="B445" s="359"/>
      <c r="C445" s="359" t="s">
        <v>1176</v>
      </c>
      <c r="D445" s="360">
        <v>16924</v>
      </c>
      <c r="E445" s="360">
        <v>16924</v>
      </c>
      <c r="F445" s="360">
        <v>16875</v>
      </c>
      <c r="G445" s="360">
        <v>16799</v>
      </c>
      <c r="H445" s="360">
        <v>16813</v>
      </c>
    </row>
    <row r="446" spans="1:8" x14ac:dyDescent="0.2">
      <c r="A446" s="359" t="s">
        <v>1177</v>
      </c>
      <c r="B446" s="359"/>
      <c r="C446" s="359" t="s">
        <v>1178</v>
      </c>
      <c r="D446" s="360">
        <v>64757</v>
      </c>
      <c r="E446" s="360">
        <v>64755</v>
      </c>
      <c r="F446" s="360">
        <v>64805</v>
      </c>
      <c r="G446" s="360">
        <v>64685</v>
      </c>
      <c r="H446" s="360">
        <v>64304</v>
      </c>
    </row>
    <row r="447" spans="1:8" x14ac:dyDescent="0.2">
      <c r="A447" s="359" t="s">
        <v>1179</v>
      </c>
      <c r="B447" s="359"/>
      <c r="C447" s="359" t="s">
        <v>1180</v>
      </c>
      <c r="D447" s="360">
        <v>52266</v>
      </c>
      <c r="E447" s="360">
        <v>52266</v>
      </c>
      <c r="F447" s="360">
        <v>52215</v>
      </c>
      <c r="G447" s="360">
        <v>52380</v>
      </c>
      <c r="H447" s="360">
        <v>52416</v>
      </c>
    </row>
    <row r="448" spans="1:8" x14ac:dyDescent="0.2">
      <c r="A448" s="359" t="s">
        <v>1181</v>
      </c>
      <c r="B448" s="359"/>
      <c r="C448" s="359" t="s">
        <v>1182</v>
      </c>
      <c r="D448" s="360">
        <v>78532</v>
      </c>
      <c r="E448" s="360">
        <v>78536</v>
      </c>
      <c r="F448" s="360">
        <v>78681</v>
      </c>
      <c r="G448" s="360">
        <v>78753</v>
      </c>
      <c r="H448" s="360">
        <v>79094</v>
      </c>
    </row>
    <row r="449" spans="1:8" x14ac:dyDescent="0.2">
      <c r="A449" s="359" t="s">
        <v>1183</v>
      </c>
      <c r="B449" s="359"/>
      <c r="C449" s="359" t="s">
        <v>1184</v>
      </c>
      <c r="D449" s="360">
        <v>42223</v>
      </c>
      <c r="E449" s="360">
        <v>42223</v>
      </c>
      <c r="F449" s="360">
        <v>42250</v>
      </c>
      <c r="G449" s="360">
        <v>42433</v>
      </c>
      <c r="H449" s="360">
        <v>42321</v>
      </c>
    </row>
    <row r="450" spans="1:8" x14ac:dyDescent="0.2">
      <c r="A450" s="359" t="s">
        <v>1185</v>
      </c>
      <c r="B450" s="359"/>
      <c r="C450" s="359" t="s">
        <v>1186</v>
      </c>
      <c r="D450" s="360">
        <v>80026</v>
      </c>
      <c r="E450" s="360">
        <v>80026</v>
      </c>
      <c r="F450" s="360">
        <v>79928</v>
      </c>
      <c r="G450" s="360">
        <v>79844</v>
      </c>
      <c r="H450" s="360">
        <v>79552</v>
      </c>
    </row>
    <row r="451" spans="1:8" x14ac:dyDescent="0.2">
      <c r="A451" s="359" t="s">
        <v>1187</v>
      </c>
      <c r="B451" s="359"/>
      <c r="C451" s="359" t="s">
        <v>1188</v>
      </c>
      <c r="D451" s="360">
        <v>122151</v>
      </c>
      <c r="E451" s="360">
        <v>122151</v>
      </c>
      <c r="F451" s="360">
        <v>122112</v>
      </c>
      <c r="G451" s="360">
        <v>121912</v>
      </c>
      <c r="H451" s="360">
        <v>121853</v>
      </c>
    </row>
    <row r="452" spans="1:8" x14ac:dyDescent="0.2">
      <c r="A452" s="359" t="s">
        <v>1189</v>
      </c>
      <c r="B452" s="359"/>
      <c r="C452" s="359" t="s">
        <v>1190</v>
      </c>
      <c r="D452" s="360">
        <v>39163</v>
      </c>
      <c r="E452" s="360">
        <v>39163</v>
      </c>
      <c r="F452" s="360">
        <v>39193</v>
      </c>
      <c r="G452" s="360">
        <v>39294</v>
      </c>
      <c r="H452" s="360">
        <v>39372</v>
      </c>
    </row>
    <row r="453" spans="1:8" x14ac:dyDescent="0.2">
      <c r="A453" s="359" t="s">
        <v>1191</v>
      </c>
      <c r="B453" s="359"/>
      <c r="C453" s="359" t="s">
        <v>1192</v>
      </c>
      <c r="D453" s="360">
        <v>27842</v>
      </c>
      <c r="E453" s="360">
        <v>27842</v>
      </c>
      <c r="F453" s="360">
        <v>27823</v>
      </c>
      <c r="G453" s="360">
        <v>27675</v>
      </c>
      <c r="H453" s="360">
        <v>27509</v>
      </c>
    </row>
    <row r="454" spans="1:8" x14ac:dyDescent="0.2">
      <c r="A454" s="359" t="s">
        <v>1193</v>
      </c>
      <c r="B454" s="359"/>
      <c r="C454" s="359" t="s">
        <v>1194</v>
      </c>
      <c r="D454" s="360">
        <v>61976</v>
      </c>
      <c r="E454" s="360">
        <v>61976</v>
      </c>
      <c r="F454" s="360">
        <v>62006</v>
      </c>
      <c r="G454" s="360">
        <v>62369</v>
      </c>
      <c r="H454" s="360">
        <v>62597</v>
      </c>
    </row>
    <row r="455" spans="1:8" x14ac:dyDescent="0.2">
      <c r="A455" s="359" t="s">
        <v>1195</v>
      </c>
      <c r="B455" s="359"/>
      <c r="C455" s="359" t="s">
        <v>1196</v>
      </c>
      <c r="D455" s="360">
        <v>43437</v>
      </c>
      <c r="E455" s="360">
        <v>43437</v>
      </c>
      <c r="F455" s="360">
        <v>43594</v>
      </c>
      <c r="G455" s="360">
        <v>44027</v>
      </c>
      <c r="H455" s="360">
        <v>44319</v>
      </c>
    </row>
    <row r="456" spans="1:8" x14ac:dyDescent="0.2">
      <c r="A456" s="359" t="s">
        <v>1197</v>
      </c>
      <c r="B456" s="359"/>
      <c r="C456" s="359" t="s">
        <v>1198</v>
      </c>
      <c r="D456" s="360">
        <v>59534</v>
      </c>
      <c r="E456" s="360">
        <v>59535</v>
      </c>
      <c r="F456" s="360">
        <v>59600</v>
      </c>
      <c r="G456" s="360">
        <v>59615</v>
      </c>
      <c r="H456" s="360">
        <v>59465</v>
      </c>
    </row>
    <row r="457" spans="1:8" x14ac:dyDescent="0.2">
      <c r="A457" s="359" t="s">
        <v>1199</v>
      </c>
      <c r="B457" s="359"/>
      <c r="C457" s="359" t="s">
        <v>1200</v>
      </c>
      <c r="D457" s="360">
        <v>50976</v>
      </c>
      <c r="E457" s="360">
        <v>50976</v>
      </c>
      <c r="F457" s="360">
        <v>51070</v>
      </c>
      <c r="G457" s="360">
        <v>51460</v>
      </c>
      <c r="H457" s="360">
        <v>51633</v>
      </c>
    </row>
    <row r="458" spans="1:8" x14ac:dyDescent="0.2">
      <c r="A458" s="359" t="s">
        <v>1201</v>
      </c>
      <c r="B458" s="359"/>
      <c r="C458" s="359" t="s">
        <v>1202</v>
      </c>
      <c r="D458" s="360">
        <v>27979</v>
      </c>
      <c r="E458" s="360">
        <v>27979</v>
      </c>
      <c r="F458" s="360">
        <v>27900</v>
      </c>
      <c r="G458" s="360">
        <v>27546</v>
      </c>
      <c r="H458" s="360">
        <v>27559</v>
      </c>
    </row>
    <row r="459" spans="1:8" x14ac:dyDescent="0.2">
      <c r="A459" s="359" t="s">
        <v>1203</v>
      </c>
      <c r="B459" s="359"/>
      <c r="C459" s="359" t="s">
        <v>1204</v>
      </c>
      <c r="D459" s="360">
        <v>60079</v>
      </c>
      <c r="E459" s="360">
        <v>60079</v>
      </c>
      <c r="F459" s="360">
        <v>60073</v>
      </c>
      <c r="G459" s="360">
        <v>60082</v>
      </c>
      <c r="H459" s="360">
        <v>59977</v>
      </c>
    </row>
    <row r="460" spans="1:8" x14ac:dyDescent="0.2">
      <c r="A460" s="359" t="s">
        <v>1205</v>
      </c>
      <c r="B460" s="359"/>
      <c r="C460" s="359" t="s">
        <v>1206</v>
      </c>
      <c r="D460" s="360">
        <v>36647</v>
      </c>
      <c r="E460" s="360">
        <v>36646</v>
      </c>
      <c r="F460" s="360">
        <v>36827</v>
      </c>
      <c r="G460" s="360">
        <v>36890</v>
      </c>
      <c r="H460" s="360">
        <v>37025</v>
      </c>
    </row>
    <row r="461" spans="1:8" x14ac:dyDescent="0.2">
      <c r="A461" s="359" t="s">
        <v>1207</v>
      </c>
      <c r="B461" s="359"/>
      <c r="C461" s="359" t="s">
        <v>1208</v>
      </c>
      <c r="D461" s="360">
        <v>36702</v>
      </c>
      <c r="E461" s="360">
        <v>36702</v>
      </c>
      <c r="F461" s="360">
        <v>36722</v>
      </c>
      <c r="G461" s="360">
        <v>36708</v>
      </c>
      <c r="H461" s="360">
        <v>36547</v>
      </c>
    </row>
    <row r="462" spans="1:8" x14ac:dyDescent="0.2">
      <c r="A462" s="359" t="s">
        <v>1209</v>
      </c>
      <c r="B462" s="359"/>
      <c r="C462" s="359" t="s">
        <v>1210</v>
      </c>
      <c r="D462" s="360">
        <v>22311</v>
      </c>
      <c r="E462" s="360">
        <v>22311</v>
      </c>
      <c r="F462" s="360">
        <v>22301</v>
      </c>
      <c r="G462" s="360">
        <v>21998</v>
      </c>
      <c r="H462" s="360">
        <v>21806</v>
      </c>
    </row>
    <row r="463" spans="1:8" x14ac:dyDescent="0.2">
      <c r="A463" s="359" t="s">
        <v>1211</v>
      </c>
      <c r="B463" s="359"/>
      <c r="C463" s="359" t="s">
        <v>1212</v>
      </c>
      <c r="D463" s="360">
        <v>88759</v>
      </c>
      <c r="E463" s="360">
        <v>88759</v>
      </c>
      <c r="F463" s="360">
        <v>88652</v>
      </c>
      <c r="G463" s="360">
        <v>88721</v>
      </c>
      <c r="H463" s="360">
        <v>88415</v>
      </c>
    </row>
    <row r="464" spans="1:8" x14ac:dyDescent="0.2">
      <c r="A464" s="359" t="s">
        <v>1213</v>
      </c>
      <c r="B464" s="359"/>
      <c r="C464" s="359" t="s">
        <v>1214</v>
      </c>
      <c r="D464" s="360">
        <v>46134</v>
      </c>
      <c r="E464" s="360">
        <v>46134</v>
      </c>
      <c r="F464" s="360">
        <v>46134</v>
      </c>
      <c r="G464" s="360">
        <v>46073</v>
      </c>
      <c r="H464" s="360">
        <v>46078</v>
      </c>
    </row>
    <row r="465" spans="1:8" x14ac:dyDescent="0.2">
      <c r="A465" s="359" t="s">
        <v>1215</v>
      </c>
      <c r="B465" s="359"/>
      <c r="C465" s="359" t="s">
        <v>1216</v>
      </c>
      <c r="D465" s="360">
        <v>31861</v>
      </c>
      <c r="E465" s="360">
        <v>31861</v>
      </c>
      <c r="F465" s="360">
        <v>31871</v>
      </c>
      <c r="G465" s="360">
        <v>32338</v>
      </c>
      <c r="H465" s="360">
        <v>32527</v>
      </c>
    </row>
    <row r="466" spans="1:8" x14ac:dyDescent="0.2">
      <c r="A466" s="359" t="s">
        <v>1217</v>
      </c>
      <c r="B466" s="359"/>
      <c r="C466" s="359" t="s">
        <v>1218</v>
      </c>
      <c r="D466" s="360">
        <v>45858</v>
      </c>
      <c r="E466" s="360">
        <v>45858</v>
      </c>
      <c r="F466" s="360">
        <v>45797</v>
      </c>
      <c r="G466" s="360">
        <v>45638</v>
      </c>
      <c r="H466" s="360">
        <v>45474</v>
      </c>
    </row>
    <row r="467" spans="1:8" x14ac:dyDescent="0.2">
      <c r="A467" s="359" t="s">
        <v>1219</v>
      </c>
      <c r="B467" s="359"/>
      <c r="C467" s="359" t="s">
        <v>1220</v>
      </c>
      <c r="D467" s="360">
        <v>44442</v>
      </c>
      <c r="E467" s="360">
        <v>44442</v>
      </c>
      <c r="F467" s="360">
        <v>44588</v>
      </c>
      <c r="G467" s="360">
        <v>45254</v>
      </c>
      <c r="H467" s="360">
        <v>45375</v>
      </c>
    </row>
    <row r="468" spans="1:8" x14ac:dyDescent="0.2">
      <c r="A468" s="359" t="s">
        <v>1221</v>
      </c>
      <c r="B468" s="359"/>
      <c r="C468" s="359" t="s">
        <v>1222</v>
      </c>
      <c r="D468" s="360">
        <v>28933</v>
      </c>
      <c r="E468" s="360">
        <v>28933</v>
      </c>
      <c r="F468" s="360">
        <v>28872</v>
      </c>
      <c r="G468" s="360">
        <v>28467</v>
      </c>
      <c r="H468" s="360">
        <v>28145</v>
      </c>
    </row>
    <row r="469" spans="1:8" x14ac:dyDescent="0.2">
      <c r="A469" s="359" t="s">
        <v>1223</v>
      </c>
      <c r="B469" s="359"/>
      <c r="C469" s="359" t="s">
        <v>1224</v>
      </c>
      <c r="D469" s="360">
        <v>37125</v>
      </c>
      <c r="E469" s="360">
        <v>37125</v>
      </c>
      <c r="F469" s="360">
        <v>37091</v>
      </c>
      <c r="G469" s="360">
        <v>36842</v>
      </c>
      <c r="H469" s="360">
        <v>36697</v>
      </c>
    </row>
    <row r="470" spans="1:8" x14ac:dyDescent="0.2">
      <c r="A470" s="359" t="s">
        <v>1225</v>
      </c>
      <c r="B470" s="359"/>
      <c r="C470" s="359" t="s">
        <v>1226</v>
      </c>
      <c r="D470" s="360">
        <v>39361</v>
      </c>
      <c r="E470" s="360">
        <v>39358</v>
      </c>
      <c r="F470" s="360">
        <v>39257</v>
      </c>
      <c r="G470" s="360">
        <v>38914</v>
      </c>
      <c r="H470" s="360">
        <v>38322</v>
      </c>
    </row>
    <row r="471" spans="1:8" x14ac:dyDescent="0.2">
      <c r="A471" s="359" t="s">
        <v>1227</v>
      </c>
      <c r="B471" s="359"/>
      <c r="C471" s="359" t="s">
        <v>1228</v>
      </c>
      <c r="D471" s="360">
        <v>42798</v>
      </c>
      <c r="E471" s="360">
        <v>42798</v>
      </c>
      <c r="F471" s="360">
        <v>42815</v>
      </c>
      <c r="G471" s="360">
        <v>43296</v>
      </c>
      <c r="H471" s="360">
        <v>43318</v>
      </c>
    </row>
    <row r="472" spans="1:8" x14ac:dyDescent="0.2">
      <c r="A472" s="359" t="s">
        <v>1229</v>
      </c>
      <c r="B472" s="359"/>
      <c r="C472" s="359" t="s">
        <v>1230</v>
      </c>
      <c r="D472" s="360">
        <v>36238</v>
      </c>
      <c r="E472" s="360">
        <v>36238</v>
      </c>
      <c r="F472" s="360">
        <v>36226</v>
      </c>
      <c r="G472" s="360">
        <v>36194</v>
      </c>
      <c r="H472" s="360">
        <v>36667</v>
      </c>
    </row>
    <row r="473" spans="1:8" x14ac:dyDescent="0.2">
      <c r="A473" s="359" t="s">
        <v>1231</v>
      </c>
      <c r="B473" s="359"/>
      <c r="C473" s="359" t="s">
        <v>1232</v>
      </c>
      <c r="D473" s="360">
        <v>61313</v>
      </c>
      <c r="E473" s="360">
        <v>61316</v>
      </c>
      <c r="F473" s="360">
        <v>61460</v>
      </c>
      <c r="G473" s="360">
        <v>61196</v>
      </c>
      <c r="H473" s="360">
        <v>60676</v>
      </c>
    </row>
    <row r="474" spans="1:8" x14ac:dyDescent="0.2">
      <c r="A474" s="359" t="s">
        <v>1233</v>
      </c>
      <c r="B474" s="359"/>
      <c r="C474" s="359" t="s">
        <v>1234</v>
      </c>
      <c r="D474" s="360">
        <v>45607</v>
      </c>
      <c r="E474" s="360">
        <v>45607</v>
      </c>
      <c r="F474" s="360">
        <v>45734</v>
      </c>
      <c r="G474" s="360">
        <v>45850</v>
      </c>
      <c r="H474" s="360">
        <v>45474</v>
      </c>
    </row>
    <row r="475" spans="1:8" x14ac:dyDescent="0.2">
      <c r="A475" s="359" t="s">
        <v>1235</v>
      </c>
      <c r="B475" s="359"/>
      <c r="C475" s="359" t="s">
        <v>1236</v>
      </c>
      <c r="D475" s="360">
        <v>107342</v>
      </c>
      <c r="E475" s="360">
        <v>107344</v>
      </c>
      <c r="F475" s="360">
        <v>107450</v>
      </c>
      <c r="G475" s="360">
        <v>107133</v>
      </c>
      <c r="H475" s="360">
        <v>106791</v>
      </c>
    </row>
    <row r="476" spans="1:8" x14ac:dyDescent="0.2">
      <c r="A476" s="359" t="s">
        <v>1237</v>
      </c>
      <c r="B476" s="359"/>
      <c r="C476" s="359" t="s">
        <v>1238</v>
      </c>
      <c r="D476" s="360">
        <v>46480</v>
      </c>
      <c r="E476" s="360">
        <v>46480</v>
      </c>
      <c r="F476" s="360">
        <v>46406</v>
      </c>
      <c r="G476" s="360">
        <v>46079</v>
      </c>
      <c r="H476" s="360">
        <v>45562</v>
      </c>
    </row>
    <row r="477" spans="1:8" x14ac:dyDescent="0.2">
      <c r="A477" s="359" t="s">
        <v>1239</v>
      </c>
      <c r="B477" s="359"/>
      <c r="C477" s="359" t="s">
        <v>1240</v>
      </c>
      <c r="D477" s="360">
        <v>47168</v>
      </c>
      <c r="E477" s="360">
        <v>47171</v>
      </c>
      <c r="F477" s="360">
        <v>47067</v>
      </c>
      <c r="G477" s="360">
        <v>47125</v>
      </c>
      <c r="H477" s="360">
        <v>46670</v>
      </c>
    </row>
    <row r="478" spans="1:8" x14ac:dyDescent="0.2">
      <c r="A478" s="359" t="s">
        <v>1241</v>
      </c>
      <c r="B478" s="359"/>
      <c r="C478" s="359" t="s">
        <v>1242</v>
      </c>
      <c r="D478" s="360">
        <v>26306</v>
      </c>
      <c r="E478" s="360">
        <v>26306</v>
      </c>
      <c r="F478" s="360">
        <v>26280</v>
      </c>
      <c r="G478" s="360">
        <v>26329</v>
      </c>
      <c r="H478" s="360">
        <v>26195</v>
      </c>
    </row>
    <row r="479" spans="1:8" x14ac:dyDescent="0.2">
      <c r="A479" s="359" t="s">
        <v>1243</v>
      </c>
      <c r="B479" s="359"/>
      <c r="C479" s="359" t="s">
        <v>1244</v>
      </c>
      <c r="D479" s="360">
        <v>51079</v>
      </c>
      <c r="E479" s="360">
        <v>51079</v>
      </c>
      <c r="F479" s="360">
        <v>51010</v>
      </c>
      <c r="G479" s="360">
        <v>51662</v>
      </c>
      <c r="H479" s="360">
        <v>51871</v>
      </c>
    </row>
    <row r="480" spans="1:8" x14ac:dyDescent="0.2">
      <c r="A480" s="359" t="s">
        <v>1245</v>
      </c>
      <c r="B480" s="359"/>
      <c r="C480" s="359" t="s">
        <v>1246</v>
      </c>
      <c r="D480" s="360">
        <v>22150</v>
      </c>
      <c r="E480" s="360">
        <v>22150</v>
      </c>
      <c r="F480" s="360">
        <v>22082</v>
      </c>
      <c r="G480" s="360">
        <v>21922</v>
      </c>
      <c r="H480" s="360">
        <v>21922</v>
      </c>
    </row>
    <row r="481" spans="1:8" x14ac:dyDescent="0.2">
      <c r="A481" s="359" t="s">
        <v>1247</v>
      </c>
      <c r="B481" s="359"/>
      <c r="C481" s="359" t="s">
        <v>1248</v>
      </c>
      <c r="D481" s="360">
        <v>89513</v>
      </c>
      <c r="E481" s="360">
        <v>89513</v>
      </c>
      <c r="F481" s="360">
        <v>89610</v>
      </c>
      <c r="G481" s="360">
        <v>91354</v>
      </c>
      <c r="H481" s="360">
        <v>92614</v>
      </c>
    </row>
    <row r="482" spans="1:8" x14ac:dyDescent="0.2">
      <c r="A482" s="359" t="s">
        <v>1249</v>
      </c>
      <c r="B482" s="359"/>
      <c r="C482" s="359" t="s">
        <v>1250</v>
      </c>
      <c r="D482" s="360">
        <v>43450</v>
      </c>
      <c r="E482" s="360">
        <v>43450</v>
      </c>
      <c r="F482" s="360">
        <v>43366</v>
      </c>
      <c r="G482" s="360">
        <v>43205</v>
      </c>
      <c r="H482" s="360">
        <v>43127</v>
      </c>
    </row>
    <row r="483" spans="1:8" x14ac:dyDescent="0.2">
      <c r="A483" s="359" t="s">
        <v>1251</v>
      </c>
      <c r="B483" s="359"/>
      <c r="C483" s="359" t="s">
        <v>1252</v>
      </c>
      <c r="D483" s="360">
        <v>91067</v>
      </c>
      <c r="E483" s="360">
        <v>91067</v>
      </c>
      <c r="F483" s="360">
        <v>91252</v>
      </c>
      <c r="G483" s="360">
        <v>91008</v>
      </c>
      <c r="H483" s="360">
        <v>91239</v>
      </c>
    </row>
    <row r="484" spans="1:8" x14ac:dyDescent="0.2">
      <c r="A484" s="359" t="s">
        <v>1253</v>
      </c>
      <c r="B484" s="359"/>
      <c r="C484" s="359" t="s">
        <v>1254</v>
      </c>
      <c r="D484" s="360">
        <v>83877</v>
      </c>
      <c r="E484" s="360">
        <v>83877</v>
      </c>
      <c r="F484" s="360">
        <v>83956</v>
      </c>
      <c r="G484" s="360">
        <v>84505</v>
      </c>
      <c r="H484" s="360">
        <v>84524</v>
      </c>
    </row>
    <row r="485" spans="1:8" x14ac:dyDescent="0.2">
      <c r="A485" s="359" t="s">
        <v>1255</v>
      </c>
      <c r="B485" s="359"/>
      <c r="C485" s="359" t="s">
        <v>1256</v>
      </c>
      <c r="D485" s="360">
        <v>27994</v>
      </c>
      <c r="E485" s="360">
        <v>27994</v>
      </c>
      <c r="F485" s="360">
        <v>28037</v>
      </c>
      <c r="G485" s="360">
        <v>27864</v>
      </c>
      <c r="H485" s="360">
        <v>28044</v>
      </c>
    </row>
    <row r="486" spans="1:8" x14ac:dyDescent="0.2">
      <c r="A486" s="359" t="s">
        <v>1257</v>
      </c>
      <c r="B486" s="359"/>
      <c r="C486" s="359" t="s">
        <v>1258</v>
      </c>
      <c r="D486" s="360">
        <v>33718</v>
      </c>
      <c r="E486" s="360">
        <v>33708</v>
      </c>
      <c r="F486" s="360">
        <v>33738</v>
      </c>
      <c r="G486" s="360">
        <v>33983</v>
      </c>
      <c r="H486" s="360">
        <v>34093</v>
      </c>
    </row>
    <row r="487" spans="1:8" x14ac:dyDescent="0.2">
      <c r="A487" s="359" t="s">
        <v>1259</v>
      </c>
      <c r="B487" s="359"/>
      <c r="C487" s="359" t="s">
        <v>1260</v>
      </c>
      <c r="D487" s="360">
        <v>33090</v>
      </c>
      <c r="E487" s="360">
        <v>33090</v>
      </c>
      <c r="F487" s="360">
        <v>33064</v>
      </c>
      <c r="G487" s="360">
        <v>32815</v>
      </c>
      <c r="H487" s="360">
        <v>32849</v>
      </c>
    </row>
    <row r="488" spans="1:8" x14ac:dyDescent="0.2">
      <c r="A488" s="359" t="s">
        <v>1261</v>
      </c>
      <c r="B488" s="359"/>
      <c r="C488" s="359" t="s">
        <v>1262</v>
      </c>
      <c r="D488" s="360">
        <v>34869</v>
      </c>
      <c r="E488" s="360">
        <v>34869</v>
      </c>
      <c r="F488" s="360">
        <v>34851</v>
      </c>
      <c r="G488" s="360">
        <v>34897</v>
      </c>
      <c r="H488" s="360">
        <v>34900</v>
      </c>
    </row>
    <row r="489" spans="1:8" x14ac:dyDescent="0.2">
      <c r="A489" s="359" t="s">
        <v>1263</v>
      </c>
      <c r="B489" s="359"/>
      <c r="C489" s="359" t="s">
        <v>1264</v>
      </c>
      <c r="D489" s="360">
        <v>22364</v>
      </c>
      <c r="E489" s="360">
        <v>22364</v>
      </c>
      <c r="F489" s="360">
        <v>22364</v>
      </c>
      <c r="G489" s="360">
        <v>22462</v>
      </c>
      <c r="H489" s="360">
        <v>22248</v>
      </c>
    </row>
    <row r="490" spans="1:8" x14ac:dyDescent="0.2">
      <c r="A490" s="359" t="s">
        <v>1265</v>
      </c>
      <c r="B490" s="359"/>
      <c r="C490" s="359" t="s">
        <v>1266</v>
      </c>
      <c r="D490" s="360">
        <v>31965</v>
      </c>
      <c r="E490" s="360">
        <v>31965</v>
      </c>
      <c r="F490" s="360">
        <v>32026</v>
      </c>
      <c r="G490" s="360">
        <v>32120</v>
      </c>
      <c r="H490" s="360">
        <v>32629</v>
      </c>
    </row>
    <row r="491" spans="1:8" x14ac:dyDescent="0.2">
      <c r="A491" s="359" t="s">
        <v>1267</v>
      </c>
      <c r="B491" s="359"/>
      <c r="C491" s="359" t="s">
        <v>1268</v>
      </c>
      <c r="D491" s="360">
        <v>38106</v>
      </c>
      <c r="E491" s="360">
        <v>38106</v>
      </c>
      <c r="F491" s="360">
        <v>38116</v>
      </c>
      <c r="G491" s="360">
        <v>38013</v>
      </c>
      <c r="H491" s="360">
        <v>37825</v>
      </c>
    </row>
    <row r="492" spans="1:8" x14ac:dyDescent="0.2">
      <c r="A492" s="359" t="s">
        <v>1269</v>
      </c>
      <c r="B492" s="359"/>
      <c r="C492" s="359" t="s">
        <v>1270</v>
      </c>
      <c r="D492" s="360">
        <v>43784</v>
      </c>
      <c r="E492" s="360">
        <v>43784</v>
      </c>
      <c r="F492" s="360">
        <v>43757</v>
      </c>
      <c r="G492" s="360">
        <v>43297</v>
      </c>
      <c r="H492" s="360">
        <v>42849</v>
      </c>
    </row>
    <row r="493" spans="1:8" x14ac:dyDescent="0.2">
      <c r="A493" s="359" t="s">
        <v>1271</v>
      </c>
      <c r="B493" s="359"/>
      <c r="C493" s="359" t="s">
        <v>1272</v>
      </c>
      <c r="D493" s="360">
        <v>43021</v>
      </c>
      <c r="E493" s="360">
        <v>43021</v>
      </c>
      <c r="F493" s="360">
        <v>43159</v>
      </c>
      <c r="G493" s="360">
        <v>43277</v>
      </c>
      <c r="H493" s="360">
        <v>43286</v>
      </c>
    </row>
    <row r="494" spans="1:8" x14ac:dyDescent="0.2">
      <c r="A494" s="359" t="s">
        <v>1273</v>
      </c>
      <c r="B494" s="359"/>
      <c r="C494" s="359" t="s">
        <v>1274</v>
      </c>
      <c r="D494" s="360">
        <v>47656</v>
      </c>
      <c r="E494" s="360">
        <v>47656</v>
      </c>
      <c r="F494" s="360">
        <v>47592</v>
      </c>
      <c r="G494" s="360">
        <v>47325</v>
      </c>
      <c r="H494" s="360">
        <v>47383</v>
      </c>
    </row>
    <row r="495" spans="1:8" x14ac:dyDescent="0.2">
      <c r="A495" s="359" t="s">
        <v>1275</v>
      </c>
      <c r="B495" s="359"/>
      <c r="C495" s="359" t="s">
        <v>1276</v>
      </c>
      <c r="D495" s="360">
        <v>34200</v>
      </c>
      <c r="E495" s="360">
        <v>34200</v>
      </c>
      <c r="F495" s="360">
        <v>34237</v>
      </c>
      <c r="G495" s="360">
        <v>34362</v>
      </c>
      <c r="H495" s="360">
        <v>34403</v>
      </c>
    </row>
    <row r="496" spans="1:8" x14ac:dyDescent="0.2">
      <c r="A496" s="359" t="s">
        <v>1277</v>
      </c>
      <c r="B496" s="359"/>
      <c r="C496" s="359" t="s">
        <v>1278</v>
      </c>
      <c r="D496" s="360">
        <v>47584</v>
      </c>
      <c r="E496" s="360">
        <v>47584</v>
      </c>
      <c r="F496" s="360">
        <v>47588</v>
      </c>
      <c r="G496" s="360">
        <v>47622</v>
      </c>
      <c r="H496" s="360">
        <v>47639</v>
      </c>
    </row>
    <row r="497" spans="1:8" x14ac:dyDescent="0.2">
      <c r="A497" s="359" t="s">
        <v>1279</v>
      </c>
      <c r="B497" s="359"/>
      <c r="C497" s="359" t="s">
        <v>1280</v>
      </c>
      <c r="D497" s="360">
        <v>55186</v>
      </c>
      <c r="E497" s="360">
        <v>55186</v>
      </c>
      <c r="F497" s="360">
        <v>55196</v>
      </c>
      <c r="G497" s="360">
        <v>55487</v>
      </c>
      <c r="H497" s="360">
        <v>55766</v>
      </c>
    </row>
    <row r="498" spans="1:8" x14ac:dyDescent="0.2">
      <c r="A498" s="359" t="s">
        <v>1281</v>
      </c>
      <c r="B498" s="359"/>
      <c r="C498" s="359" t="s">
        <v>1282</v>
      </c>
      <c r="D498" s="360">
        <v>32618</v>
      </c>
      <c r="E498" s="360">
        <v>32618</v>
      </c>
      <c r="F498" s="360">
        <v>32660</v>
      </c>
      <c r="G498" s="360">
        <v>32703</v>
      </c>
      <c r="H498" s="360">
        <v>32551</v>
      </c>
    </row>
    <row r="499" spans="1:8" x14ac:dyDescent="0.2">
      <c r="A499" s="359" t="s">
        <v>1283</v>
      </c>
      <c r="B499" s="359"/>
      <c r="C499" s="359" t="s">
        <v>1284</v>
      </c>
      <c r="D499" s="360">
        <v>40087</v>
      </c>
      <c r="E499" s="360">
        <v>40087</v>
      </c>
      <c r="F499" s="360">
        <v>40032</v>
      </c>
      <c r="G499" s="360">
        <v>39841</v>
      </c>
      <c r="H499" s="360">
        <v>39817</v>
      </c>
    </row>
    <row r="500" spans="1:8" x14ac:dyDescent="0.2">
      <c r="A500" s="359" t="s">
        <v>1285</v>
      </c>
      <c r="B500" s="359"/>
      <c r="C500" s="359" t="s">
        <v>1286</v>
      </c>
      <c r="D500" s="360">
        <v>31488</v>
      </c>
      <c r="E500" s="360">
        <v>31489</v>
      </c>
      <c r="F500" s="360">
        <v>31437</v>
      </c>
      <c r="G500" s="360">
        <v>31020</v>
      </c>
      <c r="H500" s="360">
        <v>30703</v>
      </c>
    </row>
    <row r="501" spans="1:8" x14ac:dyDescent="0.2">
      <c r="A501" s="359" t="s">
        <v>1287</v>
      </c>
      <c r="B501" s="359"/>
      <c r="C501" s="359" t="s">
        <v>1288</v>
      </c>
      <c r="D501" s="360">
        <v>24512</v>
      </c>
      <c r="E501" s="360">
        <v>24512</v>
      </c>
      <c r="F501" s="360">
        <v>24563</v>
      </c>
      <c r="G501" s="360">
        <v>24691</v>
      </c>
      <c r="H501" s="360">
        <v>24691</v>
      </c>
    </row>
    <row r="502" spans="1:8" x14ac:dyDescent="0.2">
      <c r="A502" s="359" t="s">
        <v>1289</v>
      </c>
      <c r="B502" s="359"/>
      <c r="C502" s="359" t="s">
        <v>1290</v>
      </c>
      <c r="D502" s="360">
        <v>46824</v>
      </c>
      <c r="E502" s="360">
        <v>46824</v>
      </c>
      <c r="F502" s="360">
        <v>46859</v>
      </c>
      <c r="G502" s="360">
        <v>47345</v>
      </c>
      <c r="H502" s="360">
        <v>46788</v>
      </c>
    </row>
    <row r="503" spans="1:8" x14ac:dyDescent="0.2">
      <c r="A503" s="359" t="s">
        <v>1291</v>
      </c>
      <c r="B503" s="359"/>
      <c r="C503" s="359" t="s">
        <v>1292</v>
      </c>
      <c r="D503" s="360">
        <v>37069</v>
      </c>
      <c r="E503" s="360">
        <v>37069</v>
      </c>
      <c r="F503" s="360">
        <v>37043</v>
      </c>
      <c r="G503" s="360">
        <v>36935</v>
      </c>
      <c r="H503" s="360">
        <v>36651</v>
      </c>
    </row>
    <row r="504" spans="1:8" x14ac:dyDescent="0.2">
      <c r="A504" s="359" t="s">
        <v>1293</v>
      </c>
      <c r="B504" s="359"/>
      <c r="C504" s="359" t="s">
        <v>1294</v>
      </c>
      <c r="D504" s="360">
        <v>53829</v>
      </c>
      <c r="E504" s="360">
        <v>53829</v>
      </c>
      <c r="F504" s="360">
        <v>53902</v>
      </c>
      <c r="G504" s="360">
        <v>53999</v>
      </c>
      <c r="H504" s="360">
        <v>54419</v>
      </c>
    </row>
    <row r="505" spans="1:8" x14ac:dyDescent="0.2">
      <c r="A505" s="359" t="s">
        <v>1295</v>
      </c>
      <c r="B505" s="359"/>
      <c r="C505" s="359" t="s">
        <v>1296</v>
      </c>
      <c r="D505" s="360">
        <v>46163</v>
      </c>
      <c r="E505" s="360">
        <v>46163</v>
      </c>
      <c r="F505" s="360">
        <v>46278</v>
      </c>
      <c r="G505" s="360">
        <v>46651</v>
      </c>
      <c r="H505" s="360">
        <v>46750</v>
      </c>
    </row>
    <row r="506" spans="1:8" x14ac:dyDescent="0.2">
      <c r="A506" s="359" t="s">
        <v>1297</v>
      </c>
      <c r="B506" s="359"/>
      <c r="C506" s="359" t="s">
        <v>1298</v>
      </c>
      <c r="D506" s="360">
        <v>41475</v>
      </c>
      <c r="E506" s="360">
        <v>41475</v>
      </c>
      <c r="F506" s="360">
        <v>41522</v>
      </c>
      <c r="G506" s="360">
        <v>41247</v>
      </c>
      <c r="H506" s="360">
        <v>41188</v>
      </c>
    </row>
    <row r="507" spans="1:8" x14ac:dyDescent="0.2">
      <c r="A507" s="359" t="s">
        <v>1299</v>
      </c>
      <c r="B507" s="359"/>
      <c r="C507" s="359" t="s">
        <v>1300</v>
      </c>
      <c r="D507" s="360">
        <v>40814</v>
      </c>
      <c r="E507" s="360">
        <v>40814</v>
      </c>
      <c r="F507" s="360">
        <v>40780</v>
      </c>
      <c r="G507" s="360">
        <v>40799</v>
      </c>
      <c r="H507" s="360">
        <v>40875</v>
      </c>
    </row>
    <row r="508" spans="1:8" x14ac:dyDescent="0.2">
      <c r="A508" s="359" t="s">
        <v>1301</v>
      </c>
      <c r="B508" s="359"/>
      <c r="C508" s="359" t="s">
        <v>1302</v>
      </c>
      <c r="D508" s="360">
        <v>39437</v>
      </c>
      <c r="E508" s="360">
        <v>39437</v>
      </c>
      <c r="F508" s="360">
        <v>39434</v>
      </c>
      <c r="G508" s="360">
        <v>39008</v>
      </c>
      <c r="H508" s="360">
        <v>38894</v>
      </c>
    </row>
    <row r="509" spans="1:8" x14ac:dyDescent="0.2">
      <c r="A509" s="359" t="s">
        <v>1303</v>
      </c>
      <c r="B509" s="359"/>
      <c r="C509" s="359" t="s">
        <v>1304</v>
      </c>
      <c r="D509" s="360">
        <v>75455</v>
      </c>
      <c r="E509" s="360">
        <v>75455</v>
      </c>
      <c r="F509" s="360">
        <v>75497</v>
      </c>
      <c r="G509" s="360">
        <v>75664</v>
      </c>
      <c r="H509" s="360">
        <v>75621</v>
      </c>
    </row>
    <row r="510" spans="1:8" x14ac:dyDescent="0.2">
      <c r="A510" s="359" t="s">
        <v>1305</v>
      </c>
      <c r="B510" s="359"/>
      <c r="C510" s="359" t="s">
        <v>1306</v>
      </c>
      <c r="D510" s="360">
        <v>64921</v>
      </c>
      <c r="E510" s="360">
        <v>64921</v>
      </c>
      <c r="F510" s="360">
        <v>64964</v>
      </c>
      <c r="G510" s="360">
        <v>64837</v>
      </c>
      <c r="H510" s="360">
        <v>64623</v>
      </c>
    </row>
    <row r="511" spans="1:8" x14ac:dyDescent="0.2">
      <c r="A511" s="359" t="s">
        <v>1307</v>
      </c>
      <c r="B511" s="359"/>
      <c r="C511" s="359" t="s">
        <v>1308</v>
      </c>
      <c r="D511" s="360">
        <v>78064</v>
      </c>
      <c r="E511" s="360">
        <v>78064</v>
      </c>
      <c r="F511" s="360">
        <v>78093</v>
      </c>
      <c r="G511" s="360">
        <v>77647</v>
      </c>
      <c r="H511" s="360">
        <v>77429</v>
      </c>
    </row>
    <row r="512" spans="1:8" x14ac:dyDescent="0.2">
      <c r="A512" s="359" t="s">
        <v>1309</v>
      </c>
      <c r="B512" s="359"/>
      <c r="C512" s="359" t="s">
        <v>1310</v>
      </c>
      <c r="D512" s="360">
        <v>218466</v>
      </c>
      <c r="E512" s="360">
        <v>218466</v>
      </c>
      <c r="F512" s="360">
        <v>218436</v>
      </c>
      <c r="G512" s="360">
        <v>217983</v>
      </c>
      <c r="H512" s="360">
        <v>217390</v>
      </c>
    </row>
    <row r="513" spans="1:8" x14ac:dyDescent="0.2">
      <c r="A513" s="359" t="s">
        <v>1311</v>
      </c>
      <c r="B513" s="359"/>
      <c r="C513" s="359" t="s">
        <v>1312</v>
      </c>
      <c r="D513" s="360">
        <v>94196</v>
      </c>
      <c r="E513" s="360">
        <v>94196</v>
      </c>
      <c r="F513" s="360">
        <v>94304</v>
      </c>
      <c r="G513" s="360">
        <v>94437</v>
      </c>
      <c r="H513" s="360">
        <v>94310</v>
      </c>
    </row>
    <row r="514" spans="1:8" x14ac:dyDescent="0.2">
      <c r="A514" s="359" t="s">
        <v>1313</v>
      </c>
      <c r="B514" s="359"/>
      <c r="C514" s="359" t="s">
        <v>1314</v>
      </c>
      <c r="D514" s="360">
        <v>26151</v>
      </c>
      <c r="E514" s="360">
        <v>26151</v>
      </c>
      <c r="F514" s="360">
        <v>26125</v>
      </c>
      <c r="G514" s="360">
        <v>25853</v>
      </c>
      <c r="H514" s="360">
        <v>25709</v>
      </c>
    </row>
    <row r="515" spans="1:8" x14ac:dyDescent="0.2">
      <c r="A515" s="359" t="s">
        <v>1315</v>
      </c>
      <c r="B515" s="359"/>
      <c r="C515" s="359" t="s">
        <v>1316</v>
      </c>
      <c r="D515" s="360">
        <v>64665</v>
      </c>
      <c r="E515" s="360">
        <v>64665</v>
      </c>
      <c r="F515" s="360">
        <v>64748</v>
      </c>
      <c r="G515" s="360">
        <v>64262</v>
      </c>
      <c r="H515" s="360">
        <v>63983</v>
      </c>
    </row>
    <row r="516" spans="1:8" x14ac:dyDescent="0.2">
      <c r="A516" s="359" t="s">
        <v>1317</v>
      </c>
      <c r="B516" s="359"/>
      <c r="C516" s="359" t="s">
        <v>1318</v>
      </c>
      <c r="D516" s="360">
        <v>34145</v>
      </c>
      <c r="E516" s="360">
        <v>34147</v>
      </c>
      <c r="F516" s="360">
        <v>34061</v>
      </c>
      <c r="G516" s="360">
        <v>33748</v>
      </c>
      <c r="H516" s="360">
        <v>33904</v>
      </c>
    </row>
    <row r="517" spans="1:8" x14ac:dyDescent="0.2">
      <c r="A517" s="359" t="s">
        <v>1319</v>
      </c>
      <c r="B517" s="359"/>
      <c r="C517" s="359" t="s">
        <v>1320</v>
      </c>
      <c r="D517" s="360">
        <v>39140</v>
      </c>
      <c r="E517" s="360">
        <v>39140</v>
      </c>
      <c r="F517" s="360">
        <v>39017</v>
      </c>
      <c r="G517" s="360">
        <v>38696</v>
      </c>
      <c r="H517" s="360">
        <v>37447</v>
      </c>
    </row>
    <row r="518" spans="1:8" x14ac:dyDescent="0.2">
      <c r="A518" s="359" t="s">
        <v>1321</v>
      </c>
      <c r="B518" s="359"/>
      <c r="C518" s="359" t="s">
        <v>1322</v>
      </c>
      <c r="D518" s="360">
        <v>49116</v>
      </c>
      <c r="E518" s="360">
        <v>49116</v>
      </c>
      <c r="F518" s="360">
        <v>49118</v>
      </c>
      <c r="G518" s="360">
        <v>49086</v>
      </c>
      <c r="H518" s="360">
        <v>48717</v>
      </c>
    </row>
    <row r="519" spans="1:8" x14ac:dyDescent="0.2">
      <c r="A519" s="359" t="s">
        <v>1323</v>
      </c>
      <c r="B519" s="359"/>
      <c r="C519" s="359" t="s">
        <v>1324</v>
      </c>
      <c r="D519" s="360">
        <v>48376</v>
      </c>
      <c r="E519" s="360">
        <v>48376</v>
      </c>
      <c r="F519" s="360">
        <v>48928</v>
      </c>
      <c r="G519" s="360">
        <v>49574</v>
      </c>
      <c r="H519" s="360">
        <v>49938</v>
      </c>
    </row>
    <row r="520" spans="1:8" x14ac:dyDescent="0.2">
      <c r="A520" s="359" t="s">
        <v>1325</v>
      </c>
      <c r="B520" s="359"/>
      <c r="C520" s="359" t="s">
        <v>1326</v>
      </c>
      <c r="D520" s="360">
        <v>35471</v>
      </c>
      <c r="E520" s="360">
        <v>35471</v>
      </c>
      <c r="F520" s="360">
        <v>35408</v>
      </c>
      <c r="G520" s="360">
        <v>34839</v>
      </c>
      <c r="H520" s="360">
        <v>34459</v>
      </c>
    </row>
    <row r="521" spans="1:8" x14ac:dyDescent="0.2">
      <c r="A521" s="359" t="s">
        <v>1327</v>
      </c>
      <c r="B521" s="359"/>
      <c r="C521" s="359" t="s">
        <v>1328</v>
      </c>
      <c r="D521" s="360">
        <v>45248</v>
      </c>
      <c r="E521" s="360">
        <v>45248</v>
      </c>
      <c r="F521" s="360">
        <v>45147</v>
      </c>
      <c r="G521" s="360">
        <v>43902</v>
      </c>
      <c r="H521" s="360">
        <v>43868</v>
      </c>
    </row>
    <row r="522" spans="1:8" x14ac:dyDescent="0.2">
      <c r="A522" s="359" t="s">
        <v>1329</v>
      </c>
      <c r="B522" s="359"/>
      <c r="C522" s="359" t="s">
        <v>1330</v>
      </c>
      <c r="D522" s="360">
        <v>59779</v>
      </c>
      <c r="E522" s="360">
        <v>59779</v>
      </c>
      <c r="F522" s="360">
        <v>59815</v>
      </c>
      <c r="G522" s="360">
        <v>59611</v>
      </c>
      <c r="H522" s="360">
        <v>59670</v>
      </c>
    </row>
    <row r="523" spans="1:8" x14ac:dyDescent="0.2">
      <c r="A523" s="359" t="s">
        <v>1331</v>
      </c>
      <c r="B523" s="359"/>
      <c r="C523" s="359" t="s">
        <v>1332</v>
      </c>
      <c r="D523" s="360">
        <v>32237</v>
      </c>
      <c r="E523" s="360">
        <v>32237</v>
      </c>
      <c r="F523" s="360">
        <v>32269</v>
      </c>
      <c r="G523" s="360">
        <v>32482</v>
      </c>
      <c r="H523" s="360">
        <v>32681</v>
      </c>
    </row>
    <row r="524" spans="1:8" x14ac:dyDescent="0.2">
      <c r="A524" s="359" t="s">
        <v>1333</v>
      </c>
      <c r="B524" s="359"/>
      <c r="C524" s="359" t="s">
        <v>1334</v>
      </c>
      <c r="D524" s="360">
        <v>146445</v>
      </c>
      <c r="E524" s="360">
        <v>146445</v>
      </c>
      <c r="F524" s="360">
        <v>146443</v>
      </c>
      <c r="G524" s="360">
        <v>146614</v>
      </c>
      <c r="H524" s="360">
        <v>146761</v>
      </c>
    </row>
    <row r="525" spans="1:8" x14ac:dyDescent="0.2">
      <c r="A525" s="359" t="s">
        <v>1335</v>
      </c>
      <c r="B525" s="359"/>
      <c r="C525" s="359" t="s">
        <v>1336</v>
      </c>
      <c r="D525" s="360">
        <v>24277</v>
      </c>
      <c r="E525" s="360">
        <v>24277</v>
      </c>
      <c r="F525" s="360">
        <v>24284</v>
      </c>
      <c r="G525" s="360">
        <v>24156</v>
      </c>
      <c r="H525" s="360">
        <v>24029</v>
      </c>
    </row>
    <row r="526" spans="1:8" x14ac:dyDescent="0.2">
      <c r="A526" s="359" t="s">
        <v>1337</v>
      </c>
      <c r="B526" s="359"/>
      <c r="C526" s="359" t="s">
        <v>1338</v>
      </c>
      <c r="D526" s="360">
        <v>106042</v>
      </c>
      <c r="E526" s="360">
        <v>106049</v>
      </c>
      <c r="F526" s="360">
        <v>106284</v>
      </c>
      <c r="G526" s="360">
        <v>106381</v>
      </c>
      <c r="H526" s="360">
        <v>106860</v>
      </c>
    </row>
    <row r="527" spans="1:8" x14ac:dyDescent="0.2">
      <c r="A527" s="359" t="s">
        <v>1339</v>
      </c>
      <c r="B527" s="359"/>
      <c r="C527" s="359" t="s">
        <v>1340</v>
      </c>
      <c r="D527" s="360">
        <v>63043</v>
      </c>
      <c r="E527" s="360">
        <v>63043</v>
      </c>
      <c r="F527" s="360">
        <v>63053</v>
      </c>
      <c r="G527" s="360">
        <v>62795</v>
      </c>
      <c r="H527" s="360">
        <v>62534</v>
      </c>
    </row>
    <row r="528" spans="1:8" x14ac:dyDescent="0.2">
      <c r="A528" s="359" t="s">
        <v>1341</v>
      </c>
      <c r="B528" s="359"/>
      <c r="C528" s="359" t="s">
        <v>1342</v>
      </c>
      <c r="D528" s="360">
        <v>23439</v>
      </c>
      <c r="E528" s="360">
        <v>23439</v>
      </c>
      <c r="F528" s="360">
        <v>23380</v>
      </c>
      <c r="G528" s="360">
        <v>23692</v>
      </c>
      <c r="H528" s="360">
        <v>23606</v>
      </c>
    </row>
    <row r="529" spans="1:8" x14ac:dyDescent="0.2">
      <c r="A529" s="359" t="s">
        <v>1343</v>
      </c>
      <c r="B529" s="359"/>
      <c r="C529" s="359" t="s">
        <v>1344</v>
      </c>
      <c r="D529" s="360">
        <v>37057</v>
      </c>
      <c r="E529" s="360">
        <v>37057</v>
      </c>
      <c r="F529" s="360">
        <v>37078</v>
      </c>
      <c r="G529" s="360">
        <v>37230</v>
      </c>
      <c r="H529" s="360">
        <v>37164</v>
      </c>
    </row>
    <row r="530" spans="1:8" x14ac:dyDescent="0.2">
      <c r="A530" s="359" t="s">
        <v>1345</v>
      </c>
      <c r="B530" s="359"/>
      <c r="C530" s="359" t="s">
        <v>1346</v>
      </c>
      <c r="D530" s="360">
        <v>43041</v>
      </c>
      <c r="E530" s="360">
        <v>43041</v>
      </c>
      <c r="F530" s="360">
        <v>43092</v>
      </c>
      <c r="G530" s="360">
        <v>43081</v>
      </c>
      <c r="H530" s="360">
        <v>43520</v>
      </c>
    </row>
    <row r="531" spans="1:8" x14ac:dyDescent="0.2">
      <c r="A531" s="359" t="s">
        <v>1347</v>
      </c>
      <c r="B531" s="359"/>
      <c r="C531" s="359" t="s">
        <v>1348</v>
      </c>
      <c r="D531" s="360">
        <v>98990</v>
      </c>
      <c r="E531" s="360">
        <v>98989</v>
      </c>
      <c r="F531" s="360">
        <v>98936</v>
      </c>
      <c r="G531" s="360">
        <v>99287</v>
      </c>
      <c r="H531" s="360">
        <v>99063</v>
      </c>
    </row>
    <row r="532" spans="1:8" x14ac:dyDescent="0.2">
      <c r="A532" s="359" t="s">
        <v>1349</v>
      </c>
      <c r="B532" s="359"/>
      <c r="C532" s="359" t="s">
        <v>1350</v>
      </c>
      <c r="D532" s="360">
        <v>47735</v>
      </c>
      <c r="E532" s="360">
        <v>47735</v>
      </c>
      <c r="F532" s="360">
        <v>47761</v>
      </c>
      <c r="G532" s="360">
        <v>47963</v>
      </c>
      <c r="H532" s="360">
        <v>47979</v>
      </c>
    </row>
    <row r="533" spans="1:8" x14ac:dyDescent="0.2">
      <c r="A533" s="359" t="s">
        <v>1351</v>
      </c>
      <c r="B533" s="359"/>
      <c r="C533" s="359" t="s">
        <v>1352</v>
      </c>
      <c r="D533" s="360">
        <v>49336</v>
      </c>
      <c r="E533" s="360">
        <v>49336</v>
      </c>
      <c r="F533" s="360">
        <v>49275</v>
      </c>
      <c r="G533" s="360">
        <v>49619</v>
      </c>
      <c r="H533" s="360">
        <v>49474</v>
      </c>
    </row>
    <row r="534" spans="1:8" x14ac:dyDescent="0.2">
      <c r="A534" s="359" t="s">
        <v>1353</v>
      </c>
      <c r="B534" s="359"/>
      <c r="C534" s="359" t="s">
        <v>1354</v>
      </c>
      <c r="D534" s="360">
        <v>36901</v>
      </c>
      <c r="E534" s="360">
        <v>36901</v>
      </c>
      <c r="F534" s="360">
        <v>36897</v>
      </c>
      <c r="G534" s="360">
        <v>36893</v>
      </c>
      <c r="H534" s="360">
        <v>36779</v>
      </c>
    </row>
    <row r="535" spans="1:8" x14ac:dyDescent="0.2">
      <c r="A535" s="359" t="s">
        <v>1355</v>
      </c>
      <c r="B535" s="359"/>
      <c r="C535" s="359" t="s">
        <v>1356</v>
      </c>
      <c r="D535" s="360">
        <v>13795</v>
      </c>
      <c r="E535" s="360">
        <v>13795</v>
      </c>
      <c r="F535" s="360">
        <v>13810</v>
      </c>
      <c r="G535" s="360">
        <v>13410</v>
      </c>
      <c r="H535" s="360">
        <v>13200</v>
      </c>
    </row>
    <row r="536" spans="1:8" x14ac:dyDescent="0.2">
      <c r="A536" s="359" t="s">
        <v>1357</v>
      </c>
      <c r="B536" s="359"/>
      <c r="C536" s="359" t="s">
        <v>1358</v>
      </c>
      <c r="D536" s="360">
        <v>38124</v>
      </c>
      <c r="E536" s="360">
        <v>38124</v>
      </c>
      <c r="F536" s="360">
        <v>38068</v>
      </c>
      <c r="G536" s="360">
        <v>38331</v>
      </c>
      <c r="H536" s="360">
        <v>38254</v>
      </c>
    </row>
    <row r="537" spans="1:8" x14ac:dyDescent="0.2">
      <c r="A537" s="359" t="s">
        <v>1359</v>
      </c>
      <c r="B537" s="359"/>
      <c r="C537" s="359" t="s">
        <v>1360</v>
      </c>
      <c r="D537" s="360">
        <v>28610</v>
      </c>
      <c r="E537" s="360">
        <v>28610</v>
      </c>
      <c r="F537" s="360">
        <v>28583</v>
      </c>
      <c r="G537" s="360">
        <v>28513</v>
      </c>
      <c r="H537" s="360">
        <v>28290</v>
      </c>
    </row>
    <row r="538" spans="1:8" x14ac:dyDescent="0.2">
      <c r="A538" s="359" t="s">
        <v>1361</v>
      </c>
      <c r="B538" s="359"/>
      <c r="C538" s="359" t="s">
        <v>1362</v>
      </c>
      <c r="D538" s="360">
        <v>56053</v>
      </c>
      <c r="E538" s="360">
        <v>56053</v>
      </c>
      <c r="F538" s="360">
        <v>56217</v>
      </c>
      <c r="G538" s="360">
        <v>56618</v>
      </c>
      <c r="H538" s="360">
        <v>57029</v>
      </c>
    </row>
    <row r="539" spans="1:8" x14ac:dyDescent="0.2">
      <c r="A539" s="359" t="s">
        <v>1363</v>
      </c>
      <c r="B539" s="359"/>
      <c r="C539" s="359" t="s">
        <v>1364</v>
      </c>
      <c r="D539" s="360">
        <v>80406</v>
      </c>
      <c r="E539" s="360">
        <v>80406</v>
      </c>
      <c r="F539" s="360">
        <v>80471</v>
      </c>
      <c r="G539" s="360">
        <v>80479</v>
      </c>
      <c r="H539" s="360">
        <v>80440</v>
      </c>
    </row>
    <row r="540" spans="1:8" x14ac:dyDescent="0.2">
      <c r="A540" s="359" t="s">
        <v>1365</v>
      </c>
      <c r="B540" s="359"/>
      <c r="C540" s="359" t="s">
        <v>1366</v>
      </c>
      <c r="D540" s="360">
        <v>40271</v>
      </c>
      <c r="E540" s="360">
        <v>40271</v>
      </c>
      <c r="F540" s="360">
        <v>40345</v>
      </c>
      <c r="G540" s="360">
        <v>40283</v>
      </c>
      <c r="H540" s="360">
        <v>40448</v>
      </c>
    </row>
    <row r="541" spans="1:8" x14ac:dyDescent="0.2">
      <c r="A541" s="359" t="s">
        <v>1367</v>
      </c>
      <c r="B541" s="359"/>
      <c r="C541" s="359" t="s">
        <v>1368</v>
      </c>
      <c r="D541" s="360">
        <v>53174</v>
      </c>
      <c r="E541" s="360">
        <v>53174</v>
      </c>
      <c r="F541" s="360">
        <v>53201</v>
      </c>
      <c r="G541" s="360">
        <v>53237</v>
      </c>
      <c r="H541" s="360">
        <v>53119</v>
      </c>
    </row>
    <row r="542" spans="1:8" x14ac:dyDescent="0.2">
      <c r="A542" s="359" t="s">
        <v>1369</v>
      </c>
      <c r="B542" s="359"/>
      <c r="C542" s="359" t="s">
        <v>1370</v>
      </c>
      <c r="D542" s="360">
        <v>106561</v>
      </c>
      <c r="E542" s="360">
        <v>106561</v>
      </c>
      <c r="F542" s="360">
        <v>106546</v>
      </c>
      <c r="G542" s="360">
        <v>106047</v>
      </c>
      <c r="H542" s="360">
        <v>105803</v>
      </c>
    </row>
    <row r="543" spans="1:8" x14ac:dyDescent="0.2">
      <c r="A543" s="359" t="s">
        <v>1371</v>
      </c>
      <c r="B543" s="359"/>
      <c r="C543" s="359" t="s">
        <v>1372</v>
      </c>
      <c r="D543" s="360">
        <v>31809</v>
      </c>
      <c r="E543" s="360">
        <v>31809</v>
      </c>
      <c r="F543" s="360">
        <v>31852</v>
      </c>
      <c r="G543" s="360">
        <v>31961</v>
      </c>
      <c r="H543" s="360">
        <v>32247</v>
      </c>
    </row>
    <row r="544" spans="1:8" x14ac:dyDescent="0.2">
      <c r="A544" s="359" t="s">
        <v>1373</v>
      </c>
      <c r="B544" s="359"/>
      <c r="C544" s="359" t="s">
        <v>1374</v>
      </c>
      <c r="D544" s="360">
        <v>34387</v>
      </c>
      <c r="E544" s="360">
        <v>34387</v>
      </c>
      <c r="F544" s="360">
        <v>34424</v>
      </c>
      <c r="G544" s="360">
        <v>34360</v>
      </c>
      <c r="H544" s="360">
        <v>34365</v>
      </c>
    </row>
    <row r="545" spans="1:8" x14ac:dyDescent="0.2">
      <c r="A545" s="359" t="s">
        <v>1375</v>
      </c>
      <c r="B545" s="359"/>
      <c r="C545" s="359" t="s">
        <v>1376</v>
      </c>
      <c r="D545" s="360">
        <v>39037</v>
      </c>
      <c r="E545" s="360">
        <v>39035</v>
      </c>
      <c r="F545" s="360">
        <v>39005</v>
      </c>
      <c r="G545" s="360">
        <v>38885</v>
      </c>
      <c r="H545" s="360">
        <v>38677</v>
      </c>
    </row>
    <row r="546" spans="1:8" x14ac:dyDescent="0.2">
      <c r="A546" s="359" t="s">
        <v>1377</v>
      </c>
      <c r="B546" s="359"/>
      <c r="C546" s="359" t="s">
        <v>1378</v>
      </c>
      <c r="D546" s="360">
        <v>48879</v>
      </c>
      <c r="E546" s="360">
        <v>48879</v>
      </c>
      <c r="F546" s="360">
        <v>48983</v>
      </c>
      <c r="G546" s="360">
        <v>48855</v>
      </c>
      <c r="H546" s="360">
        <v>48705</v>
      </c>
    </row>
    <row r="547" spans="1:8" x14ac:dyDescent="0.2">
      <c r="A547" s="359" t="s">
        <v>1379</v>
      </c>
      <c r="B547" s="359"/>
      <c r="C547" s="359" t="s">
        <v>1380</v>
      </c>
      <c r="D547" s="360">
        <v>25095</v>
      </c>
      <c r="E547" s="360">
        <v>25095</v>
      </c>
      <c r="F547" s="360">
        <v>25115</v>
      </c>
      <c r="G547" s="360">
        <v>25162</v>
      </c>
      <c r="H547" s="360">
        <v>25041</v>
      </c>
    </row>
    <row r="548" spans="1:8" x14ac:dyDescent="0.2">
      <c r="A548" s="359" t="s">
        <v>1381</v>
      </c>
      <c r="B548" s="359"/>
      <c r="C548" s="359" t="s">
        <v>1382</v>
      </c>
      <c r="D548" s="360">
        <v>35654</v>
      </c>
      <c r="E548" s="360">
        <v>35654</v>
      </c>
      <c r="F548" s="360">
        <v>35860</v>
      </c>
      <c r="G548" s="360">
        <v>36133</v>
      </c>
      <c r="H548" s="360">
        <v>36281</v>
      </c>
    </row>
    <row r="549" spans="1:8" x14ac:dyDescent="0.2">
      <c r="A549" s="359" t="s">
        <v>1383</v>
      </c>
      <c r="B549" s="359"/>
      <c r="C549" s="359" t="s">
        <v>1384</v>
      </c>
      <c r="D549" s="360">
        <v>24199</v>
      </c>
      <c r="E549" s="360">
        <v>24199</v>
      </c>
      <c r="F549" s="360">
        <v>24333</v>
      </c>
      <c r="G549" s="360">
        <v>25147</v>
      </c>
      <c r="H549" s="360">
        <v>26771</v>
      </c>
    </row>
    <row r="550" spans="1:8" x14ac:dyDescent="0.2">
      <c r="A550" s="359" t="s">
        <v>1385</v>
      </c>
      <c r="B550" s="359"/>
      <c r="C550" s="359" t="s">
        <v>1386</v>
      </c>
      <c r="D550" s="360">
        <v>36031</v>
      </c>
      <c r="E550" s="360">
        <v>36031</v>
      </c>
      <c r="F550" s="360">
        <v>35931</v>
      </c>
      <c r="G550" s="360">
        <v>35460</v>
      </c>
      <c r="H550" s="360">
        <v>35037</v>
      </c>
    </row>
    <row r="551" spans="1:8" x14ac:dyDescent="0.2">
      <c r="A551" s="359" t="s">
        <v>1387</v>
      </c>
      <c r="B551" s="359"/>
      <c r="C551" s="359" t="s">
        <v>1388</v>
      </c>
      <c r="D551" s="360">
        <v>33848</v>
      </c>
      <c r="E551" s="360">
        <v>33848</v>
      </c>
      <c r="F551" s="360">
        <v>34062</v>
      </c>
      <c r="G551" s="360">
        <v>34464</v>
      </c>
      <c r="H551" s="360">
        <v>34752</v>
      </c>
    </row>
    <row r="552" spans="1:8" x14ac:dyDescent="0.2">
      <c r="A552" s="359" t="s">
        <v>1389</v>
      </c>
      <c r="B552" s="359"/>
      <c r="C552" s="359" t="s">
        <v>1390</v>
      </c>
      <c r="D552" s="360">
        <v>42356</v>
      </c>
      <c r="E552" s="360">
        <v>42356</v>
      </c>
      <c r="F552" s="360">
        <v>42756</v>
      </c>
      <c r="G552" s="360">
        <v>43002</v>
      </c>
      <c r="H552" s="360">
        <v>43170</v>
      </c>
    </row>
    <row r="553" spans="1:8" x14ac:dyDescent="0.2">
      <c r="A553" s="359" t="s">
        <v>1391</v>
      </c>
      <c r="B553" s="359"/>
      <c r="C553" s="359" t="s">
        <v>1392</v>
      </c>
      <c r="D553" s="360">
        <v>58414</v>
      </c>
      <c r="E553" s="360">
        <v>58414</v>
      </c>
      <c r="F553" s="360">
        <v>58393</v>
      </c>
      <c r="G553" s="360">
        <v>57986</v>
      </c>
      <c r="H553" s="360">
        <v>57938</v>
      </c>
    </row>
    <row r="554" spans="1:8" x14ac:dyDescent="0.2">
      <c r="A554" s="359" t="s">
        <v>1393</v>
      </c>
      <c r="B554" s="359"/>
      <c r="C554" s="359" t="s">
        <v>1394</v>
      </c>
      <c r="D554" s="360">
        <v>81642</v>
      </c>
      <c r="E554" s="360">
        <v>81647</v>
      </c>
      <c r="F554" s="360">
        <v>81579</v>
      </c>
      <c r="G554" s="360">
        <v>81504</v>
      </c>
      <c r="H554" s="360">
        <v>81184</v>
      </c>
    </row>
    <row r="555" spans="1:8" x14ac:dyDescent="0.2">
      <c r="A555" s="359" t="s">
        <v>1395</v>
      </c>
      <c r="B555" s="359"/>
      <c r="C555" s="359" t="s">
        <v>1396</v>
      </c>
      <c r="D555" s="360">
        <v>21904</v>
      </c>
      <c r="E555" s="360">
        <v>21904</v>
      </c>
      <c r="F555" s="360">
        <v>21977</v>
      </c>
      <c r="G555" s="360">
        <v>22041</v>
      </c>
      <c r="H555" s="360">
        <v>22313</v>
      </c>
    </row>
    <row r="556" spans="1:8" x14ac:dyDescent="0.2">
      <c r="A556" s="359" t="s">
        <v>1397</v>
      </c>
      <c r="B556" s="359"/>
      <c r="C556" s="359" t="s">
        <v>1398</v>
      </c>
      <c r="D556" s="360">
        <v>45048</v>
      </c>
      <c r="E556" s="360">
        <v>45048</v>
      </c>
      <c r="F556" s="360">
        <v>45097</v>
      </c>
      <c r="G556" s="360">
        <v>45057</v>
      </c>
      <c r="H556" s="360">
        <v>44779</v>
      </c>
    </row>
    <row r="557" spans="1:8" x14ac:dyDescent="0.2">
      <c r="A557" s="359" t="s">
        <v>1399</v>
      </c>
      <c r="B557" s="359"/>
      <c r="C557" s="359" t="s">
        <v>1400</v>
      </c>
      <c r="D557" s="360">
        <v>114678</v>
      </c>
      <c r="E557" s="360">
        <v>114678</v>
      </c>
      <c r="F557" s="360">
        <v>115755</v>
      </c>
      <c r="G557" s="360">
        <v>119285</v>
      </c>
      <c r="H557" s="360">
        <v>122135</v>
      </c>
    </row>
    <row r="558" spans="1:8" x14ac:dyDescent="0.2">
      <c r="A558" s="359" t="s">
        <v>1401</v>
      </c>
      <c r="B558" s="359"/>
      <c r="C558" s="359" t="s">
        <v>1402</v>
      </c>
      <c r="D558" s="360">
        <v>51334</v>
      </c>
      <c r="E558" s="360">
        <v>51334</v>
      </c>
      <c r="F558" s="360">
        <v>51495</v>
      </c>
      <c r="G558" s="360">
        <v>51924</v>
      </c>
      <c r="H558" s="360">
        <v>52401</v>
      </c>
    </row>
    <row r="559" spans="1:8" x14ac:dyDescent="0.2">
      <c r="A559" s="359" t="s">
        <v>1403</v>
      </c>
      <c r="B559" s="359"/>
      <c r="C559" s="359" t="s">
        <v>1404</v>
      </c>
      <c r="D559" s="360">
        <v>42416</v>
      </c>
      <c r="E559" s="360">
        <v>42416</v>
      </c>
      <c r="F559" s="360">
        <v>42644</v>
      </c>
      <c r="G559" s="360">
        <v>43117</v>
      </c>
      <c r="H559" s="360">
        <v>43399</v>
      </c>
    </row>
    <row r="560" spans="1:8" x14ac:dyDescent="0.2">
      <c r="A560" s="359" t="s">
        <v>1405</v>
      </c>
      <c r="B560" s="359"/>
      <c r="C560" s="359" t="s">
        <v>1406</v>
      </c>
      <c r="D560" s="360">
        <v>38335</v>
      </c>
      <c r="E560" s="360">
        <v>38337</v>
      </c>
      <c r="F560" s="360">
        <v>38321</v>
      </c>
      <c r="G560" s="360">
        <v>38190</v>
      </c>
      <c r="H560" s="360">
        <v>38255</v>
      </c>
    </row>
    <row r="561" spans="1:8" x14ac:dyDescent="0.2">
      <c r="A561" s="359" t="s">
        <v>1407</v>
      </c>
      <c r="B561" s="359"/>
      <c r="C561" s="359" t="s">
        <v>1408</v>
      </c>
      <c r="D561" s="360">
        <v>54258</v>
      </c>
      <c r="E561" s="360">
        <v>54258</v>
      </c>
      <c r="F561" s="360">
        <v>54462</v>
      </c>
      <c r="G561" s="360">
        <v>55082</v>
      </c>
      <c r="H561" s="360">
        <v>55365</v>
      </c>
    </row>
    <row r="562" spans="1:8" x14ac:dyDescent="0.2">
      <c r="A562" s="359" t="s">
        <v>1409</v>
      </c>
      <c r="B562" s="359"/>
      <c r="C562" s="359" t="s">
        <v>1410</v>
      </c>
      <c r="D562" s="360">
        <v>37782</v>
      </c>
      <c r="E562" s="360">
        <v>37782</v>
      </c>
      <c r="F562" s="360">
        <v>37856</v>
      </c>
      <c r="G562" s="360">
        <v>37974</v>
      </c>
      <c r="H562" s="360">
        <v>38098</v>
      </c>
    </row>
    <row r="563" spans="1:8" x14ac:dyDescent="0.2">
      <c r="A563" s="359" t="s">
        <v>1411</v>
      </c>
      <c r="B563" s="359"/>
      <c r="C563" s="359" t="s">
        <v>1412</v>
      </c>
      <c r="D563" s="360">
        <v>52197</v>
      </c>
      <c r="E563" s="360">
        <v>52197</v>
      </c>
      <c r="F563" s="360">
        <v>52076</v>
      </c>
      <c r="G563" s="360">
        <v>51738</v>
      </c>
      <c r="H563" s="360">
        <v>51874</v>
      </c>
    </row>
    <row r="564" spans="1:8" x14ac:dyDescent="0.2">
      <c r="A564" s="359" t="s">
        <v>1413</v>
      </c>
      <c r="B564" s="359"/>
      <c r="C564" s="359" t="s">
        <v>1414</v>
      </c>
      <c r="D564" s="360">
        <v>34242</v>
      </c>
      <c r="E564" s="360">
        <v>34242</v>
      </c>
      <c r="F564" s="360">
        <v>34212</v>
      </c>
      <c r="G564" s="360">
        <v>34275</v>
      </c>
      <c r="H564" s="360">
        <v>34353</v>
      </c>
    </row>
    <row r="565" spans="1:8" x14ac:dyDescent="0.2">
      <c r="A565" s="359" t="s">
        <v>1415</v>
      </c>
      <c r="B565" s="359"/>
      <c r="C565" s="359" t="s">
        <v>1416</v>
      </c>
      <c r="D565" s="360">
        <v>41280</v>
      </c>
      <c r="E565" s="360">
        <v>41280</v>
      </c>
      <c r="F565" s="360">
        <v>41327</v>
      </c>
      <c r="G565" s="360">
        <v>41264</v>
      </c>
      <c r="H565" s="360">
        <v>41285</v>
      </c>
    </row>
    <row r="566" spans="1:8" x14ac:dyDescent="0.2">
      <c r="A566" s="359" t="s">
        <v>1417</v>
      </c>
      <c r="B566" s="359"/>
      <c r="C566" s="359" t="s">
        <v>1418</v>
      </c>
      <c r="D566" s="360">
        <v>41639</v>
      </c>
      <c r="E566" s="360">
        <v>41639</v>
      </c>
      <c r="F566" s="360">
        <v>41569</v>
      </c>
      <c r="G566" s="360">
        <v>41369</v>
      </c>
      <c r="H566" s="360">
        <v>40867</v>
      </c>
    </row>
    <row r="567" spans="1:8" x14ac:dyDescent="0.2">
      <c r="A567" s="359" t="s">
        <v>1419</v>
      </c>
      <c r="B567" s="359"/>
      <c r="C567" s="359" t="s">
        <v>1420</v>
      </c>
      <c r="D567" s="360">
        <v>64094</v>
      </c>
      <c r="E567" s="360">
        <v>64094</v>
      </c>
      <c r="F567" s="360">
        <v>64178</v>
      </c>
      <c r="G567" s="360">
        <v>63866</v>
      </c>
      <c r="H567" s="360">
        <v>64244</v>
      </c>
    </row>
    <row r="568" spans="1:8" x14ac:dyDescent="0.2">
      <c r="A568" s="359" t="s">
        <v>1421</v>
      </c>
      <c r="B568" s="359"/>
      <c r="C568" s="359" t="s">
        <v>1422</v>
      </c>
      <c r="D568" s="360">
        <v>22119</v>
      </c>
      <c r="E568" s="360">
        <v>22119</v>
      </c>
      <c r="F568" s="360">
        <v>22032</v>
      </c>
      <c r="G568" s="360">
        <v>22297</v>
      </c>
      <c r="H568" s="360">
        <v>23081</v>
      </c>
    </row>
    <row r="569" spans="1:8" x14ac:dyDescent="0.2">
      <c r="A569" s="359" t="s">
        <v>1423</v>
      </c>
      <c r="B569" s="359"/>
      <c r="C569" s="359" t="s">
        <v>1424</v>
      </c>
      <c r="D569" s="360">
        <v>29405</v>
      </c>
      <c r="E569" s="360">
        <v>29405</v>
      </c>
      <c r="F569" s="360">
        <v>29380</v>
      </c>
      <c r="G569" s="360">
        <v>29426</v>
      </c>
      <c r="H569" s="360">
        <v>29384</v>
      </c>
    </row>
    <row r="570" spans="1:8" x14ac:dyDescent="0.2">
      <c r="A570" s="359" t="s">
        <v>1425</v>
      </c>
      <c r="B570" s="359"/>
      <c r="C570" s="359" t="s">
        <v>1426</v>
      </c>
      <c r="D570" s="360">
        <v>50805</v>
      </c>
      <c r="E570" s="360">
        <v>50805</v>
      </c>
      <c r="F570" s="360">
        <v>50921</v>
      </c>
      <c r="G570" s="360">
        <v>51430</v>
      </c>
      <c r="H570" s="360">
        <v>53217</v>
      </c>
    </row>
    <row r="571" spans="1:8" x14ac:dyDescent="0.2">
      <c r="A571" s="359" t="s">
        <v>1427</v>
      </c>
      <c r="B571" s="359"/>
      <c r="C571" s="359" t="s">
        <v>1428</v>
      </c>
      <c r="D571" s="360">
        <v>40915</v>
      </c>
      <c r="E571" s="360">
        <v>40915</v>
      </c>
      <c r="F571" s="360">
        <v>41028</v>
      </c>
      <c r="G571" s="360">
        <v>41591</v>
      </c>
      <c r="H571" s="360">
        <v>41672</v>
      </c>
    </row>
    <row r="572" spans="1:8" x14ac:dyDescent="0.2">
      <c r="A572" s="359" t="s">
        <v>1429</v>
      </c>
      <c r="B572" s="359"/>
      <c r="C572" s="359" t="s">
        <v>1430</v>
      </c>
      <c r="D572" s="360">
        <v>33690</v>
      </c>
      <c r="E572" s="360">
        <v>33690</v>
      </c>
      <c r="F572" s="360">
        <v>33640</v>
      </c>
      <c r="G572" s="360">
        <v>33760</v>
      </c>
      <c r="H572" s="360">
        <v>33748</v>
      </c>
    </row>
    <row r="573" spans="1:8" x14ac:dyDescent="0.2">
      <c r="A573" s="359" t="s">
        <v>1431</v>
      </c>
      <c r="B573" s="359"/>
      <c r="C573" s="359" t="s">
        <v>1432</v>
      </c>
      <c r="D573" s="360">
        <v>60580</v>
      </c>
      <c r="E573" s="360">
        <v>60580</v>
      </c>
      <c r="F573" s="360">
        <v>60764</v>
      </c>
      <c r="G573" s="360">
        <v>60575</v>
      </c>
      <c r="H573" s="360">
        <v>61189</v>
      </c>
    </row>
    <row r="574" spans="1:8" x14ac:dyDescent="0.2">
      <c r="A574" s="359" t="s">
        <v>1433</v>
      </c>
      <c r="B574" s="359"/>
      <c r="C574" s="359" t="s">
        <v>1434</v>
      </c>
      <c r="D574" s="360">
        <v>49948</v>
      </c>
      <c r="E574" s="360">
        <v>49948</v>
      </c>
      <c r="F574" s="360">
        <v>50135</v>
      </c>
      <c r="G574" s="360">
        <v>50485</v>
      </c>
      <c r="H574" s="360">
        <v>51252</v>
      </c>
    </row>
    <row r="575" spans="1:8" x14ac:dyDescent="0.2">
      <c r="A575" s="359" t="s">
        <v>1435</v>
      </c>
      <c r="B575" s="359"/>
      <c r="C575" s="359" t="s">
        <v>1436</v>
      </c>
      <c r="D575" s="360">
        <v>37069</v>
      </c>
      <c r="E575" s="360">
        <v>37069</v>
      </c>
      <c r="F575" s="360">
        <v>37068</v>
      </c>
      <c r="G575" s="360">
        <v>36955</v>
      </c>
      <c r="H575" s="360">
        <v>36884</v>
      </c>
    </row>
    <row r="576" spans="1:8" x14ac:dyDescent="0.2">
      <c r="A576" s="359" t="s">
        <v>1437</v>
      </c>
      <c r="B576" s="359"/>
      <c r="C576" s="359" t="s">
        <v>1438</v>
      </c>
      <c r="D576" s="360">
        <v>40246</v>
      </c>
      <c r="E576" s="360">
        <v>40247</v>
      </c>
      <c r="F576" s="360">
        <v>40305</v>
      </c>
      <c r="G576" s="360">
        <v>40353</v>
      </c>
      <c r="H576" s="360">
        <v>40318</v>
      </c>
    </row>
    <row r="577" spans="1:8" x14ac:dyDescent="0.2">
      <c r="A577" s="359" t="s">
        <v>1439</v>
      </c>
      <c r="B577" s="359"/>
      <c r="C577" s="359" t="s">
        <v>1440</v>
      </c>
      <c r="D577" s="360">
        <v>134623</v>
      </c>
      <c r="E577" s="360">
        <v>134623</v>
      </c>
      <c r="F577" s="360">
        <v>135039</v>
      </c>
      <c r="G577" s="360">
        <v>135318</v>
      </c>
      <c r="H577" s="360">
        <v>134827</v>
      </c>
    </row>
    <row r="578" spans="1:8" x14ac:dyDescent="0.2">
      <c r="A578" s="359" t="s">
        <v>1441</v>
      </c>
      <c r="B578" s="359"/>
      <c r="C578" s="359" t="s">
        <v>1442</v>
      </c>
      <c r="D578" s="360">
        <v>21118</v>
      </c>
      <c r="E578" s="360">
        <v>21118</v>
      </c>
      <c r="F578" s="360">
        <v>21101</v>
      </c>
      <c r="G578" s="360">
        <v>20919</v>
      </c>
      <c r="H578" s="360">
        <v>21025</v>
      </c>
    </row>
    <row r="579" spans="1:8" x14ac:dyDescent="0.2">
      <c r="A579" s="359" t="s">
        <v>1443</v>
      </c>
      <c r="B579" s="359"/>
      <c r="C579" s="359" t="s">
        <v>1444</v>
      </c>
      <c r="D579" s="360">
        <v>16843</v>
      </c>
      <c r="E579" s="360">
        <v>16843</v>
      </c>
      <c r="F579" s="360">
        <v>16804</v>
      </c>
      <c r="G579" s="360">
        <v>16893</v>
      </c>
      <c r="H579" s="360">
        <v>16867</v>
      </c>
    </row>
    <row r="580" spans="1:8" x14ac:dyDescent="0.2">
      <c r="A580" s="359" t="s">
        <v>1445</v>
      </c>
      <c r="B580" s="359"/>
      <c r="C580" s="359" t="s">
        <v>1446</v>
      </c>
      <c r="D580" s="360">
        <v>56418</v>
      </c>
      <c r="E580" s="360">
        <v>56418</v>
      </c>
      <c r="F580" s="360">
        <v>56499</v>
      </c>
      <c r="G580" s="360">
        <v>56555</v>
      </c>
      <c r="H580" s="360">
        <v>56678</v>
      </c>
    </row>
    <row r="581" spans="1:8" x14ac:dyDescent="0.2">
      <c r="A581" s="359" t="s">
        <v>1447</v>
      </c>
      <c r="B581" s="359"/>
      <c r="C581" s="359" t="s">
        <v>1448</v>
      </c>
      <c r="D581" s="360">
        <v>24877</v>
      </c>
      <c r="E581" s="360">
        <v>24877</v>
      </c>
      <c r="F581" s="360">
        <v>24794</v>
      </c>
      <c r="G581" s="360">
        <v>24611</v>
      </c>
      <c r="H581" s="360">
        <v>24375</v>
      </c>
    </row>
    <row r="582" spans="1:8" x14ac:dyDescent="0.2">
      <c r="A582" s="359" t="s">
        <v>1449</v>
      </c>
      <c r="B582" s="359"/>
      <c r="C582" s="359" t="s">
        <v>1450</v>
      </c>
      <c r="D582" s="360">
        <v>64142</v>
      </c>
      <c r="E582" s="360">
        <v>64142</v>
      </c>
      <c r="F582" s="360">
        <v>64237</v>
      </c>
      <c r="G582" s="360">
        <v>64844</v>
      </c>
      <c r="H582" s="360">
        <v>64854</v>
      </c>
    </row>
    <row r="583" spans="1:8" x14ac:dyDescent="0.2">
      <c r="A583" s="359" t="s">
        <v>1451</v>
      </c>
      <c r="B583" s="359"/>
      <c r="C583" s="359" t="s">
        <v>1452</v>
      </c>
      <c r="D583" s="360">
        <v>65359</v>
      </c>
      <c r="E583" s="360">
        <v>65364</v>
      </c>
      <c r="F583" s="360">
        <v>65563</v>
      </c>
      <c r="G583" s="360">
        <v>65607</v>
      </c>
      <c r="H583" s="360">
        <v>65917</v>
      </c>
    </row>
    <row r="584" spans="1:8" x14ac:dyDescent="0.2">
      <c r="A584" s="359" t="s">
        <v>1453</v>
      </c>
      <c r="B584" s="359"/>
      <c r="C584" s="359" t="s">
        <v>1454</v>
      </c>
      <c r="D584" s="360">
        <v>57303</v>
      </c>
      <c r="E584" s="360">
        <v>57303</v>
      </c>
      <c r="F584" s="360">
        <v>57276</v>
      </c>
      <c r="G584" s="360">
        <v>57319</v>
      </c>
      <c r="H584" s="360">
        <v>57288</v>
      </c>
    </row>
    <row r="585" spans="1:8" x14ac:dyDescent="0.2">
      <c r="A585" s="359" t="s">
        <v>1455</v>
      </c>
      <c r="B585" s="359"/>
      <c r="C585" s="359" t="s">
        <v>1456</v>
      </c>
      <c r="D585" s="360">
        <v>51980</v>
      </c>
      <c r="E585" s="360">
        <v>51980</v>
      </c>
      <c r="F585" s="360">
        <v>52104</v>
      </c>
      <c r="G585" s="360">
        <v>51579</v>
      </c>
      <c r="H585" s="360">
        <v>51327</v>
      </c>
    </row>
    <row r="586" spans="1:8" x14ac:dyDescent="0.2">
      <c r="A586" s="359" t="s">
        <v>1457</v>
      </c>
      <c r="B586" s="359"/>
      <c r="C586" s="359" t="s">
        <v>1458</v>
      </c>
      <c r="D586" s="360">
        <v>74782</v>
      </c>
      <c r="E586" s="360">
        <v>74782</v>
      </c>
      <c r="F586" s="360">
        <v>74687</v>
      </c>
      <c r="G586" s="360">
        <v>75111</v>
      </c>
      <c r="H586" s="360">
        <v>75671</v>
      </c>
    </row>
    <row r="587" spans="1:8" x14ac:dyDescent="0.2">
      <c r="A587" s="359" t="s">
        <v>1459</v>
      </c>
      <c r="B587" s="359"/>
      <c r="C587" s="359" t="s">
        <v>1460</v>
      </c>
      <c r="D587" s="360">
        <v>17634</v>
      </c>
      <c r="E587" s="360">
        <v>17634</v>
      </c>
      <c r="F587" s="360">
        <v>17659</v>
      </c>
      <c r="G587" s="360">
        <v>17605</v>
      </c>
      <c r="H587" s="360">
        <v>17538</v>
      </c>
    </row>
    <row r="588" spans="1:8" x14ac:dyDescent="0.2">
      <c r="A588" s="359" t="s">
        <v>1461</v>
      </c>
      <c r="B588" s="359"/>
      <c r="C588" s="359" t="s">
        <v>1462</v>
      </c>
      <c r="D588" s="360">
        <v>67810</v>
      </c>
      <c r="E588" s="360">
        <v>67809</v>
      </c>
      <c r="F588" s="360">
        <v>67775</v>
      </c>
      <c r="G588" s="360">
        <v>67425</v>
      </c>
      <c r="H588" s="360">
        <v>67323</v>
      </c>
    </row>
    <row r="589" spans="1:8" x14ac:dyDescent="0.2">
      <c r="A589" s="359" t="s">
        <v>1463</v>
      </c>
      <c r="B589" s="359"/>
      <c r="C589" s="359" t="s">
        <v>1464</v>
      </c>
      <c r="D589" s="360">
        <v>28258</v>
      </c>
      <c r="E589" s="360">
        <v>28258</v>
      </c>
      <c r="F589" s="360">
        <v>28178</v>
      </c>
      <c r="G589" s="360">
        <v>27961</v>
      </c>
      <c r="H589" s="360">
        <v>27858</v>
      </c>
    </row>
    <row r="590" spans="1:8" x14ac:dyDescent="0.2">
      <c r="A590" s="359" t="s">
        <v>1465</v>
      </c>
      <c r="B590" s="359"/>
      <c r="C590" s="359" t="s">
        <v>1466</v>
      </c>
      <c r="D590" s="360">
        <v>38013</v>
      </c>
      <c r="E590" s="360">
        <v>38013</v>
      </c>
      <c r="F590" s="360">
        <v>37876</v>
      </c>
      <c r="G590" s="360">
        <v>37738</v>
      </c>
      <c r="H590" s="360">
        <v>37273</v>
      </c>
    </row>
    <row r="591" spans="1:8" x14ac:dyDescent="0.2">
      <c r="A591" s="359" t="s">
        <v>1467</v>
      </c>
      <c r="B591" s="359"/>
      <c r="C591" s="359" t="s">
        <v>1468</v>
      </c>
      <c r="D591" s="360">
        <v>52274</v>
      </c>
      <c r="E591" s="360">
        <v>52277</v>
      </c>
      <c r="F591" s="360">
        <v>52827</v>
      </c>
      <c r="G591" s="360">
        <v>53082</v>
      </c>
      <c r="H591" s="360">
        <v>53259</v>
      </c>
    </row>
    <row r="592" spans="1:8" x14ac:dyDescent="0.2">
      <c r="A592" s="359" t="s">
        <v>1469</v>
      </c>
      <c r="B592" s="359"/>
      <c r="C592" s="359" t="s">
        <v>1470</v>
      </c>
      <c r="D592" s="360">
        <v>62105</v>
      </c>
      <c r="E592" s="360">
        <v>62105</v>
      </c>
      <c r="F592" s="360">
        <v>62053</v>
      </c>
      <c r="G592" s="360">
        <v>61671</v>
      </c>
      <c r="H592" s="360">
        <v>61477</v>
      </c>
    </row>
    <row r="593" spans="1:8" x14ac:dyDescent="0.2">
      <c r="A593" s="359" t="s">
        <v>1471</v>
      </c>
      <c r="B593" s="359"/>
      <c r="C593" s="359" t="s">
        <v>1472</v>
      </c>
      <c r="D593" s="360">
        <v>28159</v>
      </c>
      <c r="E593" s="360">
        <v>28159</v>
      </c>
      <c r="F593" s="360">
        <v>28165</v>
      </c>
      <c r="G593" s="360">
        <v>28562</v>
      </c>
      <c r="H593" s="360">
        <v>28472</v>
      </c>
    </row>
    <row r="594" spans="1:8" x14ac:dyDescent="0.2">
      <c r="A594" s="359" t="s">
        <v>1473</v>
      </c>
      <c r="B594" s="359"/>
      <c r="C594" s="359" t="s">
        <v>1474</v>
      </c>
      <c r="D594" s="360">
        <v>52334</v>
      </c>
      <c r="E594" s="360">
        <v>52334</v>
      </c>
      <c r="F594" s="360">
        <v>52754</v>
      </c>
      <c r="G594" s="360">
        <v>52178</v>
      </c>
      <c r="H594" s="360">
        <v>53869</v>
      </c>
    </row>
    <row r="595" spans="1:8" x14ac:dyDescent="0.2">
      <c r="A595" s="359" t="s">
        <v>1475</v>
      </c>
      <c r="B595" s="359"/>
      <c r="C595" s="359" t="s">
        <v>1476</v>
      </c>
      <c r="D595" s="360">
        <v>33224</v>
      </c>
      <c r="E595" s="360">
        <v>33224</v>
      </c>
      <c r="F595" s="360">
        <v>33186</v>
      </c>
      <c r="G595" s="360">
        <v>33056</v>
      </c>
      <c r="H595" s="360">
        <v>33022</v>
      </c>
    </row>
    <row r="596" spans="1:8" x14ac:dyDescent="0.2">
      <c r="A596" s="359" t="s">
        <v>1477</v>
      </c>
      <c r="B596" s="359"/>
      <c r="C596" s="359" t="s">
        <v>1478</v>
      </c>
      <c r="D596" s="360">
        <v>70706</v>
      </c>
      <c r="E596" s="360">
        <v>70706</v>
      </c>
      <c r="F596" s="360">
        <v>70741</v>
      </c>
      <c r="G596" s="360">
        <v>70963</v>
      </c>
      <c r="H596" s="360">
        <v>71532</v>
      </c>
    </row>
    <row r="597" spans="1:8" x14ac:dyDescent="0.2">
      <c r="A597" s="359" t="s">
        <v>1479</v>
      </c>
      <c r="B597" s="359"/>
      <c r="C597" s="359" t="s">
        <v>1480</v>
      </c>
      <c r="D597" s="360">
        <v>24837</v>
      </c>
      <c r="E597" s="360">
        <v>24837</v>
      </c>
      <c r="F597" s="360">
        <v>24878</v>
      </c>
      <c r="G597" s="360">
        <v>25038</v>
      </c>
      <c r="H597" s="360">
        <v>25153</v>
      </c>
    </row>
    <row r="598" spans="1:8" x14ac:dyDescent="0.2">
      <c r="A598" s="359" t="s">
        <v>1481</v>
      </c>
      <c r="B598" s="359"/>
      <c r="C598" s="359" t="s">
        <v>1482</v>
      </c>
      <c r="D598" s="360">
        <v>47711</v>
      </c>
      <c r="E598" s="360">
        <v>47711</v>
      </c>
      <c r="F598" s="360">
        <v>47687</v>
      </c>
      <c r="G598" s="360">
        <v>47418</v>
      </c>
      <c r="H598" s="360">
        <v>46959</v>
      </c>
    </row>
    <row r="599" spans="1:8" x14ac:dyDescent="0.2">
      <c r="A599" s="359" t="s">
        <v>1483</v>
      </c>
      <c r="B599" s="359"/>
      <c r="C599" s="359" t="s">
        <v>1484</v>
      </c>
      <c r="D599" s="360">
        <v>36691</v>
      </c>
      <c r="E599" s="360">
        <v>36691</v>
      </c>
      <c r="F599" s="360">
        <v>36663</v>
      </c>
      <c r="G599" s="360">
        <v>36706</v>
      </c>
      <c r="H599" s="360">
        <v>36427</v>
      </c>
    </row>
    <row r="600" spans="1:8" x14ac:dyDescent="0.2">
      <c r="A600" s="359" t="s">
        <v>1485</v>
      </c>
      <c r="B600" s="359"/>
      <c r="C600" s="359" t="s">
        <v>1486</v>
      </c>
      <c r="D600" s="360">
        <v>60944</v>
      </c>
      <c r="E600" s="360">
        <v>60944</v>
      </c>
      <c r="F600" s="360">
        <v>60873</v>
      </c>
      <c r="G600" s="360">
        <v>60606</v>
      </c>
      <c r="H600" s="360">
        <v>60510</v>
      </c>
    </row>
    <row r="601" spans="1:8" x14ac:dyDescent="0.2">
      <c r="A601" s="359" t="s">
        <v>1487</v>
      </c>
      <c r="B601" s="359"/>
      <c r="C601" s="359" t="s">
        <v>1488</v>
      </c>
      <c r="D601" s="360">
        <v>55342</v>
      </c>
      <c r="E601" s="360">
        <v>55342</v>
      </c>
      <c r="F601" s="360">
        <v>55424</v>
      </c>
      <c r="G601" s="360">
        <v>55539</v>
      </c>
      <c r="H601" s="360">
        <v>55662</v>
      </c>
    </row>
    <row r="602" spans="1:8" x14ac:dyDescent="0.2">
      <c r="A602" s="359" t="s">
        <v>1489</v>
      </c>
      <c r="B602" s="359"/>
      <c r="C602" s="359" t="s">
        <v>1490</v>
      </c>
      <c r="D602" s="360">
        <v>38437</v>
      </c>
      <c r="E602" s="360">
        <v>38437</v>
      </c>
      <c r="F602" s="360">
        <v>38445</v>
      </c>
      <c r="G602" s="360">
        <v>38367</v>
      </c>
      <c r="H602" s="360">
        <v>38688</v>
      </c>
    </row>
    <row r="603" spans="1:8" x14ac:dyDescent="0.2">
      <c r="A603" s="359" t="s">
        <v>1491</v>
      </c>
      <c r="B603" s="359"/>
      <c r="C603" s="359" t="s">
        <v>1492</v>
      </c>
      <c r="D603" s="360">
        <v>52919</v>
      </c>
      <c r="E603" s="360">
        <v>52919</v>
      </c>
      <c r="F603" s="360">
        <v>52914</v>
      </c>
      <c r="G603" s="360">
        <v>52675</v>
      </c>
      <c r="H603" s="360">
        <v>52247</v>
      </c>
    </row>
    <row r="604" spans="1:8" x14ac:dyDescent="0.2">
      <c r="A604" s="359" t="s">
        <v>1493</v>
      </c>
      <c r="B604" s="359"/>
      <c r="C604" s="359" t="s">
        <v>1494</v>
      </c>
      <c r="D604" s="360">
        <v>71492</v>
      </c>
      <c r="E604" s="360">
        <v>71492</v>
      </c>
      <c r="F604" s="360">
        <v>71784</v>
      </c>
      <c r="G604" s="360">
        <v>73622</v>
      </c>
      <c r="H604" s="360">
        <v>73016</v>
      </c>
    </row>
    <row r="605" spans="1:8" x14ac:dyDescent="0.2">
      <c r="A605" s="359" t="s">
        <v>1495</v>
      </c>
      <c r="B605" s="359"/>
      <c r="C605" s="359" t="s">
        <v>1496</v>
      </c>
      <c r="D605" s="360">
        <v>40753</v>
      </c>
      <c r="E605" s="360">
        <v>40753</v>
      </c>
      <c r="F605" s="360">
        <v>40946</v>
      </c>
      <c r="G605" s="360">
        <v>41079</v>
      </c>
      <c r="H605" s="360">
        <v>41168</v>
      </c>
    </row>
    <row r="606" spans="1:8" x14ac:dyDescent="0.2">
      <c r="A606" s="359" t="s">
        <v>1497</v>
      </c>
      <c r="B606" s="359"/>
      <c r="C606" s="359" t="s">
        <v>1498</v>
      </c>
      <c r="D606" s="360">
        <v>46997</v>
      </c>
      <c r="E606" s="360">
        <v>46997</v>
      </c>
      <c r="F606" s="360">
        <v>47032</v>
      </c>
      <c r="G606" s="360">
        <v>47015</v>
      </c>
      <c r="H606" s="360">
        <v>46996</v>
      </c>
    </row>
    <row r="607" spans="1:8" x14ac:dyDescent="0.2">
      <c r="A607" s="359" t="s">
        <v>1499</v>
      </c>
      <c r="B607" s="359"/>
      <c r="C607" s="359" t="s">
        <v>1500</v>
      </c>
      <c r="D607" s="360">
        <v>60158</v>
      </c>
      <c r="E607" s="360">
        <v>60158</v>
      </c>
      <c r="F607" s="360">
        <v>60125</v>
      </c>
      <c r="G607" s="360">
        <v>60120</v>
      </c>
      <c r="H607" s="360">
        <v>60189</v>
      </c>
    </row>
    <row r="608" spans="1:8" x14ac:dyDescent="0.2">
      <c r="A608" s="359" t="s">
        <v>1501</v>
      </c>
      <c r="B608" s="359"/>
      <c r="C608" s="359" t="s">
        <v>1502</v>
      </c>
      <c r="D608" s="360">
        <v>46133</v>
      </c>
      <c r="E608" s="360">
        <v>46133</v>
      </c>
      <c r="F608" s="360">
        <v>46241</v>
      </c>
      <c r="G608" s="360">
        <v>46590</v>
      </c>
      <c r="H608" s="360">
        <v>47874</v>
      </c>
    </row>
    <row r="609" spans="1:8" x14ac:dyDescent="0.2">
      <c r="A609" s="359" t="s">
        <v>1503</v>
      </c>
      <c r="B609" s="359"/>
      <c r="C609" s="359" t="s">
        <v>1504</v>
      </c>
      <c r="D609" s="360">
        <v>52272</v>
      </c>
      <c r="E609" s="360">
        <v>52272</v>
      </c>
      <c r="F609" s="360">
        <v>52257</v>
      </c>
      <c r="G609" s="360">
        <v>52455</v>
      </c>
      <c r="H609" s="360">
        <v>52600</v>
      </c>
    </row>
    <row r="610" spans="1:8" x14ac:dyDescent="0.2">
      <c r="A610" s="359" t="s">
        <v>1505</v>
      </c>
      <c r="B610" s="359"/>
      <c r="C610" s="359" t="s">
        <v>1506</v>
      </c>
      <c r="D610" s="360">
        <v>73537</v>
      </c>
      <c r="E610" s="360">
        <v>73537</v>
      </c>
      <c r="F610" s="360">
        <v>73274</v>
      </c>
      <c r="G610" s="360">
        <v>73161</v>
      </c>
      <c r="H610" s="360">
        <v>74216</v>
      </c>
    </row>
    <row r="611" spans="1:8" x14ac:dyDescent="0.2">
      <c r="A611" s="359" t="s">
        <v>1507</v>
      </c>
      <c r="B611" s="359"/>
      <c r="C611" s="359" t="s">
        <v>1508</v>
      </c>
      <c r="D611" s="360">
        <v>55531</v>
      </c>
      <c r="E611" s="360">
        <v>55531</v>
      </c>
      <c r="F611" s="360">
        <v>55474</v>
      </c>
      <c r="G611" s="360">
        <v>55248</v>
      </c>
      <c r="H611" s="360">
        <v>54925</v>
      </c>
    </row>
    <row r="612" spans="1:8" x14ac:dyDescent="0.2">
      <c r="A612" s="359" t="s">
        <v>1509</v>
      </c>
      <c r="B612" s="359"/>
      <c r="C612" s="359" t="s">
        <v>1510</v>
      </c>
      <c r="D612" s="360">
        <v>27213</v>
      </c>
      <c r="E612" s="360">
        <v>27213</v>
      </c>
      <c r="F612" s="360">
        <v>27278</v>
      </c>
      <c r="G612" s="360">
        <v>27499</v>
      </c>
      <c r="H612" s="360">
        <v>27334</v>
      </c>
    </row>
    <row r="613" spans="1:8" x14ac:dyDescent="0.2">
      <c r="A613" s="359" t="s">
        <v>1511</v>
      </c>
      <c r="B613" s="359"/>
      <c r="C613" s="359" t="s">
        <v>1512</v>
      </c>
      <c r="D613" s="360">
        <v>27674</v>
      </c>
      <c r="E613" s="360">
        <v>27674</v>
      </c>
      <c r="F613" s="360">
        <v>27691</v>
      </c>
      <c r="G613" s="360">
        <v>27690</v>
      </c>
      <c r="H613" s="360">
        <v>27557</v>
      </c>
    </row>
    <row r="614" spans="1:8" x14ac:dyDescent="0.2">
      <c r="A614" s="359" t="s">
        <v>1513</v>
      </c>
      <c r="B614" s="359"/>
      <c r="C614" s="359" t="s">
        <v>1514</v>
      </c>
      <c r="D614" s="360">
        <v>68831</v>
      </c>
      <c r="E614" s="360">
        <v>68831</v>
      </c>
      <c r="F614" s="360">
        <v>68806</v>
      </c>
      <c r="G614" s="360">
        <v>69079</v>
      </c>
      <c r="H614" s="360">
        <v>68819</v>
      </c>
    </row>
    <row r="615" spans="1:8" x14ac:dyDescent="0.2">
      <c r="A615" s="359" t="s">
        <v>1515</v>
      </c>
      <c r="B615" s="359"/>
      <c r="C615" s="359" t="s">
        <v>1516</v>
      </c>
      <c r="D615" s="360">
        <v>71372</v>
      </c>
      <c r="E615" s="360">
        <v>71372</v>
      </c>
      <c r="F615" s="360">
        <v>71298</v>
      </c>
      <c r="G615" s="360">
        <v>71646</v>
      </c>
      <c r="H615" s="360">
        <v>71540</v>
      </c>
    </row>
    <row r="616" spans="1:8" x14ac:dyDescent="0.2">
      <c r="A616" s="359" t="s">
        <v>1517</v>
      </c>
      <c r="B616" s="359"/>
      <c r="C616" s="359" t="s">
        <v>1518</v>
      </c>
      <c r="D616" s="360">
        <v>25740</v>
      </c>
      <c r="E616" s="360">
        <v>25740</v>
      </c>
      <c r="F616" s="360">
        <v>25774</v>
      </c>
      <c r="G616" s="360">
        <v>25851</v>
      </c>
      <c r="H616" s="360">
        <v>26042</v>
      </c>
    </row>
    <row r="617" spans="1:8" x14ac:dyDescent="0.2">
      <c r="A617" s="359" t="s">
        <v>1519</v>
      </c>
      <c r="B617" s="359"/>
      <c r="C617" s="359" t="s">
        <v>1520</v>
      </c>
      <c r="D617" s="360">
        <v>51137</v>
      </c>
      <c r="E617" s="360">
        <v>51135</v>
      </c>
      <c r="F617" s="360">
        <v>51046</v>
      </c>
      <c r="G617" s="360">
        <v>50451</v>
      </c>
      <c r="H617" s="360">
        <v>49750</v>
      </c>
    </row>
    <row r="618" spans="1:8" x14ac:dyDescent="0.2">
      <c r="A618" s="359" t="s">
        <v>1521</v>
      </c>
      <c r="B618" s="359"/>
      <c r="C618" s="359" t="s">
        <v>1522</v>
      </c>
      <c r="D618" s="360">
        <v>52959</v>
      </c>
      <c r="E618" s="360">
        <v>52959</v>
      </c>
      <c r="F618" s="360">
        <v>52973</v>
      </c>
      <c r="G618" s="360">
        <v>52664</v>
      </c>
      <c r="H618" s="360">
        <v>52507</v>
      </c>
    </row>
    <row r="619" spans="1:8" x14ac:dyDescent="0.2">
      <c r="A619" s="359" t="s">
        <v>1523</v>
      </c>
      <c r="B619" s="359"/>
      <c r="C619" s="359" t="s">
        <v>1524</v>
      </c>
      <c r="D619" s="360">
        <v>42914</v>
      </c>
      <c r="E619" s="360">
        <v>42914</v>
      </c>
      <c r="F619" s="360">
        <v>42885</v>
      </c>
      <c r="G619" s="360">
        <v>42356</v>
      </c>
      <c r="H619" s="360">
        <v>41371</v>
      </c>
    </row>
    <row r="620" spans="1:8" x14ac:dyDescent="0.2">
      <c r="A620" s="359" t="s">
        <v>1525</v>
      </c>
      <c r="B620" s="359"/>
      <c r="C620" s="359" t="s">
        <v>1526</v>
      </c>
      <c r="D620" s="360">
        <v>95078</v>
      </c>
      <c r="E620" s="360">
        <v>95082</v>
      </c>
      <c r="F620" s="360">
        <v>95049</v>
      </c>
      <c r="G620" s="360">
        <v>94910</v>
      </c>
      <c r="H620" s="360">
        <v>94857</v>
      </c>
    </row>
    <row r="621" spans="1:8" x14ac:dyDescent="0.2">
      <c r="A621" s="359" t="s">
        <v>1527</v>
      </c>
      <c r="B621" s="359"/>
      <c r="C621" s="359" t="s">
        <v>1528</v>
      </c>
      <c r="D621" s="360">
        <v>21906</v>
      </c>
      <c r="E621" s="360">
        <v>21906</v>
      </c>
      <c r="F621" s="360">
        <v>21869</v>
      </c>
      <c r="G621" s="360">
        <v>21651</v>
      </c>
      <c r="H621" s="360">
        <v>21682</v>
      </c>
    </row>
    <row r="622" spans="1:8" x14ac:dyDescent="0.2">
      <c r="A622" s="359" t="s">
        <v>1529</v>
      </c>
      <c r="B622" s="359"/>
      <c r="C622" s="359" t="s">
        <v>1530</v>
      </c>
      <c r="D622" s="360">
        <v>20640</v>
      </c>
      <c r="E622" s="360">
        <v>20640</v>
      </c>
      <c r="F622" s="360">
        <v>20795</v>
      </c>
      <c r="G622" s="360">
        <v>21138</v>
      </c>
      <c r="H622" s="360">
        <v>21498</v>
      </c>
    </row>
    <row r="623" spans="1:8" x14ac:dyDescent="0.2">
      <c r="A623" s="359" t="s">
        <v>1531</v>
      </c>
      <c r="B623" s="359"/>
      <c r="C623" s="359" t="s">
        <v>1532</v>
      </c>
      <c r="D623" s="360">
        <v>27701</v>
      </c>
      <c r="E623" s="360">
        <v>27701</v>
      </c>
      <c r="F623" s="360">
        <v>27614</v>
      </c>
      <c r="G623" s="360">
        <v>27363</v>
      </c>
      <c r="H623" s="360">
        <v>27500</v>
      </c>
    </row>
    <row r="624" spans="1:8" x14ac:dyDescent="0.2">
      <c r="A624" s="359" t="s">
        <v>1533</v>
      </c>
      <c r="B624" s="359"/>
      <c r="C624" s="359" t="s">
        <v>1534</v>
      </c>
      <c r="D624" s="360">
        <v>38948</v>
      </c>
      <c r="E624" s="360">
        <v>38948</v>
      </c>
      <c r="F624" s="360">
        <v>38959</v>
      </c>
      <c r="G624" s="360">
        <v>39032</v>
      </c>
      <c r="H624" s="360">
        <v>39022</v>
      </c>
    </row>
    <row r="625" spans="1:8" x14ac:dyDescent="0.2">
      <c r="A625" s="359" t="s">
        <v>1535</v>
      </c>
      <c r="B625" s="359"/>
      <c r="C625" s="359" t="s">
        <v>1536</v>
      </c>
      <c r="D625" s="360">
        <v>45233</v>
      </c>
      <c r="E625" s="360">
        <v>45233</v>
      </c>
      <c r="F625" s="360">
        <v>45266</v>
      </c>
      <c r="G625" s="360">
        <v>45359</v>
      </c>
      <c r="H625" s="360">
        <v>45413</v>
      </c>
    </row>
    <row r="626" spans="1:8" x14ac:dyDescent="0.2">
      <c r="A626" s="359" t="s">
        <v>1537</v>
      </c>
      <c r="B626" s="359"/>
      <c r="C626" s="359" t="s">
        <v>1538</v>
      </c>
      <c r="D626" s="360">
        <v>31364</v>
      </c>
      <c r="E626" s="360">
        <v>31364</v>
      </c>
      <c r="F626" s="360">
        <v>31352</v>
      </c>
      <c r="G626" s="360">
        <v>31242</v>
      </c>
      <c r="H626" s="360">
        <v>31459</v>
      </c>
    </row>
    <row r="627" spans="1:8" x14ac:dyDescent="0.2">
      <c r="A627" s="359" t="s">
        <v>1539</v>
      </c>
      <c r="B627" s="359"/>
      <c r="C627" s="359" t="s">
        <v>1540</v>
      </c>
      <c r="D627" s="360">
        <v>28452</v>
      </c>
      <c r="E627" s="360">
        <v>28452</v>
      </c>
      <c r="F627" s="360">
        <v>28449</v>
      </c>
      <c r="G627" s="360">
        <v>28761</v>
      </c>
      <c r="H627" s="360">
        <v>29053</v>
      </c>
    </row>
    <row r="628" spans="1:8" x14ac:dyDescent="0.2">
      <c r="A628" s="359" t="s">
        <v>1541</v>
      </c>
      <c r="B628" s="359"/>
      <c r="C628" s="359" t="s">
        <v>1542</v>
      </c>
      <c r="D628" s="360">
        <v>23530</v>
      </c>
      <c r="E628" s="360">
        <v>23530</v>
      </c>
      <c r="F628" s="360">
        <v>23683</v>
      </c>
      <c r="G628" s="360">
        <v>24342</v>
      </c>
      <c r="H628" s="360">
        <v>25273</v>
      </c>
    </row>
    <row r="629" spans="1:8" x14ac:dyDescent="0.2">
      <c r="A629" s="359" t="s">
        <v>1543</v>
      </c>
      <c r="B629" s="359"/>
      <c r="C629" s="359" t="s">
        <v>1544</v>
      </c>
      <c r="D629" s="360">
        <v>74801</v>
      </c>
      <c r="E629" s="360">
        <v>74801</v>
      </c>
      <c r="F629" s="360">
        <v>75029</v>
      </c>
      <c r="G629" s="360">
        <v>75669</v>
      </c>
      <c r="H629" s="360">
        <v>76277</v>
      </c>
    </row>
    <row r="630" spans="1:8" x14ac:dyDescent="0.2">
      <c r="A630" s="359" t="s">
        <v>1545</v>
      </c>
      <c r="B630" s="359"/>
      <c r="C630" s="359" t="s">
        <v>1546</v>
      </c>
      <c r="D630" s="360">
        <v>21757</v>
      </c>
      <c r="E630" s="360">
        <v>21757</v>
      </c>
      <c r="F630" s="360">
        <v>21674</v>
      </c>
      <c r="G630" s="360">
        <v>21383</v>
      </c>
      <c r="H630" s="360">
        <v>20784</v>
      </c>
    </row>
    <row r="631" spans="1:8" x14ac:dyDescent="0.2">
      <c r="A631" s="359" t="s">
        <v>1547</v>
      </c>
      <c r="B631" s="359"/>
      <c r="C631" s="359" t="s">
        <v>1548</v>
      </c>
      <c r="D631" s="360">
        <v>45422</v>
      </c>
      <c r="E631" s="360">
        <v>45419</v>
      </c>
      <c r="F631" s="360">
        <v>45358</v>
      </c>
      <c r="G631" s="360">
        <v>45223</v>
      </c>
      <c r="H631" s="360">
        <v>45132</v>
      </c>
    </row>
    <row r="632" spans="1:8" x14ac:dyDescent="0.2">
      <c r="A632" s="359" t="s">
        <v>1549</v>
      </c>
      <c r="B632" s="359"/>
      <c r="C632" s="359" t="s">
        <v>1550</v>
      </c>
      <c r="D632" s="360">
        <v>19372</v>
      </c>
      <c r="E632" s="360">
        <v>19372</v>
      </c>
      <c r="F632" s="360">
        <v>19431</v>
      </c>
      <c r="G632" s="360">
        <v>19446</v>
      </c>
      <c r="H632" s="360">
        <v>19360</v>
      </c>
    </row>
    <row r="633" spans="1:8" x14ac:dyDescent="0.2">
      <c r="A633" s="359" t="s">
        <v>1551</v>
      </c>
      <c r="B633" s="359"/>
      <c r="C633" s="359" t="s">
        <v>1552</v>
      </c>
      <c r="D633" s="360">
        <v>87062</v>
      </c>
      <c r="E633" s="360">
        <v>87062</v>
      </c>
      <c r="F633" s="360">
        <v>87256</v>
      </c>
      <c r="G633" s="360">
        <v>87849</v>
      </c>
      <c r="H633" s="360">
        <v>88064</v>
      </c>
    </row>
    <row r="634" spans="1:8" x14ac:dyDescent="0.2">
      <c r="A634" s="359" t="s">
        <v>1553</v>
      </c>
      <c r="B634" s="359"/>
      <c r="C634" s="359" t="s">
        <v>1554</v>
      </c>
      <c r="D634" s="360">
        <v>46688</v>
      </c>
      <c r="E634" s="360">
        <v>46688</v>
      </c>
      <c r="F634" s="360">
        <v>46603</v>
      </c>
      <c r="G634" s="360">
        <v>46565</v>
      </c>
      <c r="H634" s="360">
        <v>46229</v>
      </c>
    </row>
    <row r="635" spans="1:8" x14ac:dyDescent="0.2">
      <c r="A635" s="359" t="s">
        <v>1555</v>
      </c>
      <c r="B635" s="359"/>
      <c r="C635" s="359" t="s">
        <v>1556</v>
      </c>
      <c r="D635" s="360">
        <v>185079</v>
      </c>
      <c r="E635" s="360">
        <v>185079</v>
      </c>
      <c r="F635" s="360">
        <v>185438</v>
      </c>
      <c r="G635" s="360">
        <v>187229</v>
      </c>
      <c r="H635" s="360">
        <v>189191</v>
      </c>
    </row>
    <row r="636" spans="1:8" x14ac:dyDescent="0.2">
      <c r="A636" s="359" t="s">
        <v>1557</v>
      </c>
      <c r="B636" s="359"/>
      <c r="C636" s="359" t="s">
        <v>1558</v>
      </c>
      <c r="D636" s="360">
        <v>64727</v>
      </c>
      <c r="E636" s="360">
        <v>64727</v>
      </c>
      <c r="F636" s="360">
        <v>64657</v>
      </c>
      <c r="G636" s="360">
        <v>65136</v>
      </c>
      <c r="H636" s="360">
        <v>66338</v>
      </c>
    </row>
    <row r="637" spans="1:8" x14ac:dyDescent="0.2">
      <c r="A637" s="359" t="s">
        <v>1559</v>
      </c>
      <c r="B637" s="359"/>
      <c r="C637" s="359" t="s">
        <v>1560</v>
      </c>
      <c r="D637" s="360">
        <v>111408</v>
      </c>
      <c r="E637" s="360">
        <v>111408</v>
      </c>
      <c r="F637" s="360">
        <v>111472</v>
      </c>
      <c r="G637" s="360">
        <v>111591</v>
      </c>
      <c r="H637" s="360">
        <v>112039</v>
      </c>
    </row>
    <row r="638" spans="1:8" x14ac:dyDescent="0.2">
      <c r="A638" s="359" t="s">
        <v>1561</v>
      </c>
      <c r="B638" s="359"/>
      <c r="C638" s="359" t="s">
        <v>1562</v>
      </c>
      <c r="D638" s="360">
        <v>22346</v>
      </c>
      <c r="E638" s="360">
        <v>22346</v>
      </c>
      <c r="F638" s="360">
        <v>22435</v>
      </c>
      <c r="G638" s="360">
        <v>22414</v>
      </c>
      <c r="H638" s="360">
        <v>22584</v>
      </c>
    </row>
    <row r="639" spans="1:8" x14ac:dyDescent="0.2">
      <c r="A639" s="359" t="s">
        <v>1563</v>
      </c>
      <c r="B639" s="359"/>
      <c r="C639" s="359" t="s">
        <v>1564</v>
      </c>
      <c r="D639" s="360">
        <v>38784</v>
      </c>
      <c r="E639" s="360">
        <v>38784</v>
      </c>
      <c r="F639" s="360">
        <v>38836</v>
      </c>
      <c r="G639" s="360">
        <v>38943</v>
      </c>
      <c r="H639" s="360">
        <v>38735</v>
      </c>
    </row>
    <row r="640" spans="1:8" x14ac:dyDescent="0.2">
      <c r="A640" s="359" t="s">
        <v>1565</v>
      </c>
      <c r="B640" s="359"/>
      <c r="C640" s="359" t="s">
        <v>1566</v>
      </c>
      <c r="D640" s="360">
        <v>63096</v>
      </c>
      <c r="E640" s="360">
        <v>63096</v>
      </c>
      <c r="F640" s="360">
        <v>63025</v>
      </c>
      <c r="G640" s="360">
        <v>62603</v>
      </c>
      <c r="H640" s="360">
        <v>62499</v>
      </c>
    </row>
    <row r="641" spans="1:8" x14ac:dyDescent="0.2">
      <c r="A641" s="359" t="s">
        <v>1567</v>
      </c>
      <c r="B641" s="359"/>
      <c r="C641" s="359" t="s">
        <v>1568</v>
      </c>
      <c r="D641" s="360">
        <v>45913</v>
      </c>
      <c r="E641" s="360">
        <v>45915</v>
      </c>
      <c r="F641" s="360">
        <v>45903</v>
      </c>
      <c r="G641" s="360">
        <v>46058</v>
      </c>
      <c r="H641" s="360">
        <v>45943</v>
      </c>
    </row>
    <row r="642" spans="1:8" x14ac:dyDescent="0.2">
      <c r="A642" s="359" t="s">
        <v>1569</v>
      </c>
      <c r="B642" s="359"/>
      <c r="C642" s="359" t="s">
        <v>1570</v>
      </c>
      <c r="D642" s="360">
        <v>37124</v>
      </c>
      <c r="E642" s="360">
        <v>37124</v>
      </c>
      <c r="F642" s="360">
        <v>37099</v>
      </c>
      <c r="G642" s="360">
        <v>37184</v>
      </c>
      <c r="H642" s="360">
        <v>36987</v>
      </c>
    </row>
    <row r="643" spans="1:8" x14ac:dyDescent="0.2">
      <c r="A643" s="359" t="s">
        <v>1571</v>
      </c>
      <c r="B643" s="359"/>
      <c r="C643" s="359" t="s">
        <v>1572</v>
      </c>
      <c r="D643" s="360">
        <v>82446</v>
      </c>
      <c r="E643" s="360">
        <v>82446</v>
      </c>
      <c r="F643" s="360">
        <v>82759</v>
      </c>
      <c r="G643" s="360">
        <v>82765</v>
      </c>
      <c r="H643" s="360">
        <v>82717</v>
      </c>
    </row>
    <row r="644" spans="1:8" x14ac:dyDescent="0.2">
      <c r="A644" s="359" t="s">
        <v>1573</v>
      </c>
      <c r="B644" s="359"/>
      <c r="C644" s="359" t="s">
        <v>1574</v>
      </c>
      <c r="D644" s="360">
        <v>17398</v>
      </c>
      <c r="E644" s="360">
        <v>17398</v>
      </c>
      <c r="F644" s="360">
        <v>17414</v>
      </c>
      <c r="G644" s="360">
        <v>17596</v>
      </c>
      <c r="H644" s="360">
        <v>17753</v>
      </c>
    </row>
    <row r="645" spans="1:8" x14ac:dyDescent="0.2">
      <c r="A645" s="359" t="s">
        <v>1575</v>
      </c>
      <c r="B645" s="359"/>
      <c r="C645" s="359" t="s">
        <v>1576</v>
      </c>
      <c r="D645" s="360">
        <v>64511</v>
      </c>
      <c r="E645" s="360">
        <v>64511</v>
      </c>
      <c r="F645" s="360">
        <v>64584</v>
      </c>
      <c r="G645" s="360">
        <v>64540</v>
      </c>
      <c r="H645" s="360">
        <v>64438</v>
      </c>
    </row>
    <row r="646" spans="1:8" x14ac:dyDescent="0.2">
      <c r="A646" s="359" t="s">
        <v>1577</v>
      </c>
      <c r="B646" s="359"/>
      <c r="C646" s="359" t="s">
        <v>1578</v>
      </c>
      <c r="D646" s="360">
        <v>36651</v>
      </c>
      <c r="E646" s="360">
        <v>36651</v>
      </c>
      <c r="F646" s="360">
        <v>36610</v>
      </c>
      <c r="G646" s="360">
        <v>36395</v>
      </c>
      <c r="H646" s="360">
        <v>36053</v>
      </c>
    </row>
    <row r="647" spans="1:8" x14ac:dyDescent="0.2">
      <c r="A647" s="359" t="s">
        <v>1579</v>
      </c>
      <c r="B647" s="359"/>
      <c r="C647" s="359" t="s">
        <v>1580</v>
      </c>
      <c r="D647" s="360">
        <v>88880</v>
      </c>
      <c r="E647" s="360">
        <v>88886</v>
      </c>
      <c r="F647" s="360">
        <v>88818</v>
      </c>
      <c r="G647" s="360">
        <v>88560</v>
      </c>
      <c r="H647" s="360">
        <v>88218</v>
      </c>
    </row>
    <row r="648" spans="1:8" x14ac:dyDescent="0.2">
      <c r="A648" s="359" t="s">
        <v>1581</v>
      </c>
      <c r="B648" s="359"/>
      <c r="C648" s="359" t="s">
        <v>1582</v>
      </c>
      <c r="D648" s="360">
        <v>29450</v>
      </c>
      <c r="E648" s="360">
        <v>29450</v>
      </c>
      <c r="F648" s="360">
        <v>28992</v>
      </c>
      <c r="G648" s="360">
        <v>28539</v>
      </c>
      <c r="H648" s="360">
        <v>28431</v>
      </c>
    </row>
    <row r="649" spans="1:8" x14ac:dyDescent="0.2">
      <c r="A649" s="359" t="s">
        <v>1583</v>
      </c>
      <c r="B649" s="359"/>
      <c r="C649" s="359" t="s">
        <v>1584</v>
      </c>
      <c r="D649" s="360">
        <v>63905</v>
      </c>
      <c r="E649" s="360">
        <v>63905</v>
      </c>
      <c r="F649" s="360">
        <v>63883</v>
      </c>
      <c r="G649" s="360">
        <v>63898</v>
      </c>
      <c r="H649" s="360">
        <v>63941</v>
      </c>
    </row>
    <row r="650" spans="1:8" x14ac:dyDescent="0.2">
      <c r="A650" s="359" t="s">
        <v>1585</v>
      </c>
      <c r="B650" s="359"/>
      <c r="C650" s="359" t="s">
        <v>1586</v>
      </c>
      <c r="D650" s="360">
        <v>30591</v>
      </c>
      <c r="E650" s="360">
        <v>30591</v>
      </c>
      <c r="F650" s="360">
        <v>30537</v>
      </c>
      <c r="G650" s="360">
        <v>30596</v>
      </c>
      <c r="H650" s="360">
        <v>30702</v>
      </c>
    </row>
    <row r="651" spans="1:8" x14ac:dyDescent="0.2">
      <c r="A651" s="359" t="s">
        <v>1587</v>
      </c>
      <c r="B651" s="359"/>
      <c r="C651" s="359" t="s">
        <v>1588</v>
      </c>
      <c r="D651" s="360">
        <v>33225</v>
      </c>
      <c r="E651" s="360">
        <v>33225</v>
      </c>
      <c r="F651" s="360">
        <v>33269</v>
      </c>
      <c r="G651" s="360">
        <v>33166</v>
      </c>
      <c r="H651" s="360">
        <v>32954</v>
      </c>
    </row>
    <row r="652" spans="1:8" x14ac:dyDescent="0.2">
      <c r="A652" s="359" t="s">
        <v>1589</v>
      </c>
      <c r="B652" s="359"/>
      <c r="C652" s="359" t="s">
        <v>1590</v>
      </c>
      <c r="D652" s="360">
        <v>31464</v>
      </c>
      <c r="E652" s="360">
        <v>31464</v>
      </c>
      <c r="F652" s="360">
        <v>31450</v>
      </c>
      <c r="G652" s="360">
        <v>31601</v>
      </c>
      <c r="H652" s="360">
        <v>31727</v>
      </c>
    </row>
    <row r="653" spans="1:8" x14ac:dyDescent="0.2">
      <c r="A653" s="359" t="s">
        <v>1591</v>
      </c>
      <c r="B653" s="359"/>
      <c r="C653" s="359" t="s">
        <v>1592</v>
      </c>
      <c r="D653" s="360">
        <v>40902</v>
      </c>
      <c r="E653" s="360">
        <v>40902</v>
      </c>
      <c r="F653" s="360">
        <v>40867</v>
      </c>
      <c r="G653" s="360">
        <v>40792</v>
      </c>
      <c r="H653" s="360">
        <v>40562</v>
      </c>
    </row>
    <row r="654" spans="1:8" x14ac:dyDescent="0.2">
      <c r="A654" s="359" t="s">
        <v>1593</v>
      </c>
      <c r="B654" s="359"/>
      <c r="C654" s="359" t="s">
        <v>1594</v>
      </c>
      <c r="D654" s="360">
        <v>50845</v>
      </c>
      <c r="E654" s="360">
        <v>50845</v>
      </c>
      <c r="F654" s="360">
        <v>50860</v>
      </c>
      <c r="G654" s="360">
        <v>50961</v>
      </c>
      <c r="H654" s="360">
        <v>51206</v>
      </c>
    </row>
    <row r="655" spans="1:8" x14ac:dyDescent="0.2">
      <c r="A655" s="359" t="s">
        <v>1595</v>
      </c>
      <c r="B655" s="359"/>
      <c r="C655" s="359" t="s">
        <v>1596</v>
      </c>
      <c r="D655" s="360">
        <v>21100</v>
      </c>
      <c r="E655" s="360">
        <v>21100</v>
      </c>
      <c r="F655" s="360">
        <v>21107</v>
      </c>
      <c r="G655" s="360">
        <v>20961</v>
      </c>
      <c r="H655" s="360">
        <v>20934</v>
      </c>
    </row>
    <row r="656" spans="1:8" x14ac:dyDescent="0.2">
      <c r="A656" s="359" t="s">
        <v>1597</v>
      </c>
      <c r="B656" s="359"/>
      <c r="C656" s="359" t="s">
        <v>1598</v>
      </c>
      <c r="D656" s="360">
        <v>134905</v>
      </c>
      <c r="E656" s="360">
        <v>134905</v>
      </c>
      <c r="F656" s="360">
        <v>134767</v>
      </c>
      <c r="G656" s="360">
        <v>134264</v>
      </c>
      <c r="H656" s="360">
        <v>133539</v>
      </c>
    </row>
    <row r="657" spans="1:8" x14ac:dyDescent="0.2">
      <c r="A657" s="359" t="s">
        <v>1599</v>
      </c>
      <c r="B657" s="359"/>
      <c r="C657" s="359" t="s">
        <v>1600</v>
      </c>
      <c r="D657" s="360">
        <v>54734</v>
      </c>
      <c r="E657" s="360">
        <v>54734</v>
      </c>
      <c r="F657" s="360">
        <v>54714</v>
      </c>
      <c r="G657" s="360">
        <v>54933</v>
      </c>
      <c r="H657" s="360">
        <v>54837</v>
      </c>
    </row>
    <row r="658" spans="1:8" x14ac:dyDescent="0.2">
      <c r="A658" s="359" t="s">
        <v>1601</v>
      </c>
      <c r="B658" s="359"/>
      <c r="C658" s="359" t="s">
        <v>1602</v>
      </c>
      <c r="D658" s="360">
        <v>60485</v>
      </c>
      <c r="E658" s="360">
        <v>60485</v>
      </c>
      <c r="F658" s="360">
        <v>60761</v>
      </c>
      <c r="G658" s="360">
        <v>60536</v>
      </c>
      <c r="H658" s="360">
        <v>60571</v>
      </c>
    </row>
    <row r="659" spans="1:8" x14ac:dyDescent="0.2">
      <c r="A659" s="359" t="s">
        <v>1603</v>
      </c>
      <c r="B659" s="359"/>
      <c r="C659" s="359" t="s">
        <v>1604</v>
      </c>
      <c r="D659" s="360">
        <v>30099</v>
      </c>
      <c r="E659" s="360">
        <v>30099</v>
      </c>
      <c r="F659" s="360">
        <v>30101</v>
      </c>
      <c r="G659" s="360">
        <v>30322</v>
      </c>
      <c r="H659" s="360">
        <v>30305</v>
      </c>
    </row>
    <row r="660" spans="1:8" x14ac:dyDescent="0.2">
      <c r="A660" s="359" t="s">
        <v>1605</v>
      </c>
      <c r="B660" s="359"/>
      <c r="C660" s="359" t="s">
        <v>1606</v>
      </c>
      <c r="D660" s="360">
        <v>34362</v>
      </c>
      <c r="E660" s="360">
        <v>34362</v>
      </c>
      <c r="F660" s="360">
        <v>35315</v>
      </c>
      <c r="G660" s="360">
        <v>35409</v>
      </c>
      <c r="H660" s="360">
        <v>38013</v>
      </c>
    </row>
    <row r="661" spans="1:8" x14ac:dyDescent="0.2">
      <c r="A661" s="359" t="s">
        <v>1607</v>
      </c>
      <c r="B661" s="359"/>
      <c r="C661" s="359" t="s">
        <v>1608</v>
      </c>
      <c r="D661" s="360">
        <v>31275</v>
      </c>
      <c r="E661" s="360">
        <v>31275</v>
      </c>
      <c r="F661" s="360">
        <v>31418</v>
      </c>
      <c r="G661" s="360">
        <v>32240</v>
      </c>
      <c r="H661" s="360">
        <v>32556</v>
      </c>
    </row>
    <row r="662" spans="1:8" x14ac:dyDescent="0.2">
      <c r="A662" s="359" t="s">
        <v>1609</v>
      </c>
      <c r="B662" s="359"/>
      <c r="C662" s="359" t="s">
        <v>1610</v>
      </c>
      <c r="D662" s="360">
        <v>90928</v>
      </c>
      <c r="E662" s="360">
        <v>90928</v>
      </c>
      <c r="F662" s="360">
        <v>90898</v>
      </c>
      <c r="G662" s="360">
        <v>91132</v>
      </c>
      <c r="H662" s="360">
        <v>91633</v>
      </c>
    </row>
    <row r="663" spans="1:8" x14ac:dyDescent="0.2">
      <c r="A663" s="359" t="s">
        <v>1611</v>
      </c>
      <c r="B663" s="359"/>
      <c r="C663" s="359" t="s">
        <v>1612</v>
      </c>
      <c r="D663" s="360">
        <v>67091</v>
      </c>
      <c r="E663" s="360">
        <v>67091</v>
      </c>
      <c r="F663" s="360">
        <v>67229</v>
      </c>
      <c r="G663" s="360">
        <v>67781</v>
      </c>
      <c r="H663" s="360">
        <v>68434</v>
      </c>
    </row>
    <row r="664" spans="1:8" x14ac:dyDescent="0.2">
      <c r="A664" s="359" t="s">
        <v>1613</v>
      </c>
      <c r="B664" s="359"/>
      <c r="C664" s="359" t="s">
        <v>1614</v>
      </c>
      <c r="D664" s="360">
        <v>52591</v>
      </c>
      <c r="E664" s="360">
        <v>52591</v>
      </c>
      <c r="F664" s="360">
        <v>52645</v>
      </c>
      <c r="G664" s="360">
        <v>53282</v>
      </c>
      <c r="H664" s="360">
        <v>53948</v>
      </c>
    </row>
    <row r="665" spans="1:8" x14ac:dyDescent="0.2">
      <c r="A665" s="359" t="s">
        <v>1615</v>
      </c>
      <c r="B665" s="359"/>
      <c r="C665" s="359" t="s">
        <v>1616</v>
      </c>
      <c r="D665" s="360">
        <v>77117</v>
      </c>
      <c r="E665" s="360">
        <v>77117</v>
      </c>
      <c r="F665" s="360">
        <v>77052</v>
      </c>
      <c r="G665" s="360">
        <v>76855</v>
      </c>
      <c r="H665" s="360">
        <v>76851</v>
      </c>
    </row>
    <row r="666" spans="1:8" x14ac:dyDescent="0.2">
      <c r="A666" s="359" t="s">
        <v>1617</v>
      </c>
      <c r="B666" s="359"/>
      <c r="C666" s="359" t="s">
        <v>1618</v>
      </c>
      <c r="D666" s="360">
        <v>47536</v>
      </c>
      <c r="E666" s="360">
        <v>47536</v>
      </c>
      <c r="F666" s="360">
        <v>47496</v>
      </c>
      <c r="G666" s="360">
        <v>47523</v>
      </c>
      <c r="H666" s="360">
        <v>47582</v>
      </c>
    </row>
    <row r="667" spans="1:8" x14ac:dyDescent="0.2">
      <c r="A667" s="359" t="s">
        <v>1619</v>
      </c>
      <c r="B667" s="359"/>
      <c r="C667" s="359" t="s">
        <v>1620</v>
      </c>
      <c r="D667" s="360">
        <v>31953</v>
      </c>
      <c r="E667" s="360">
        <v>31953</v>
      </c>
      <c r="F667" s="360">
        <v>31919</v>
      </c>
      <c r="G667" s="360">
        <v>31970</v>
      </c>
      <c r="H667" s="360">
        <v>31826</v>
      </c>
    </row>
    <row r="668" spans="1:8" x14ac:dyDescent="0.2">
      <c r="A668" s="359" t="s">
        <v>1621</v>
      </c>
      <c r="B668" s="359"/>
      <c r="C668" s="359" t="s">
        <v>1622</v>
      </c>
      <c r="D668" s="360">
        <v>49625</v>
      </c>
      <c r="E668" s="360">
        <v>49625</v>
      </c>
      <c r="F668" s="360">
        <v>49655</v>
      </c>
      <c r="G668" s="360">
        <v>49625</v>
      </c>
      <c r="H668" s="360">
        <v>49786</v>
      </c>
    </row>
    <row r="669" spans="1:8" x14ac:dyDescent="0.2">
      <c r="A669" s="359" t="s">
        <v>1623</v>
      </c>
      <c r="B669" s="359"/>
      <c r="C669" s="359" t="s">
        <v>1624</v>
      </c>
      <c r="D669" s="360">
        <v>13477</v>
      </c>
      <c r="E669" s="360">
        <v>13477</v>
      </c>
      <c r="F669" s="360">
        <v>13542</v>
      </c>
      <c r="G669" s="360">
        <v>13685</v>
      </c>
      <c r="H669" s="360">
        <v>13779</v>
      </c>
    </row>
    <row r="670" spans="1:8" x14ac:dyDescent="0.2">
      <c r="A670" s="359" t="s">
        <v>1625</v>
      </c>
      <c r="B670" s="359"/>
      <c r="C670" s="359" t="s">
        <v>1626</v>
      </c>
      <c r="D670" s="360">
        <v>73090</v>
      </c>
      <c r="E670" s="360">
        <v>73090</v>
      </c>
      <c r="F670" s="360">
        <v>73201</v>
      </c>
      <c r="G670" s="360">
        <v>74010</v>
      </c>
      <c r="H670" s="360">
        <v>74809</v>
      </c>
    </row>
    <row r="671" spans="1:8" x14ac:dyDescent="0.2">
      <c r="A671" s="359" t="s">
        <v>1627</v>
      </c>
      <c r="B671" s="359"/>
      <c r="C671" s="359" t="s">
        <v>1628</v>
      </c>
      <c r="D671" s="360">
        <v>38327</v>
      </c>
      <c r="E671" s="360">
        <v>38327</v>
      </c>
      <c r="F671" s="360">
        <v>38421</v>
      </c>
      <c r="G671" s="360">
        <v>38654</v>
      </c>
      <c r="H671" s="360">
        <v>38911</v>
      </c>
    </row>
    <row r="672" spans="1:8" x14ac:dyDescent="0.2">
      <c r="A672" s="359" t="s">
        <v>1629</v>
      </c>
      <c r="B672" s="359"/>
      <c r="C672" s="359" t="s">
        <v>1630</v>
      </c>
      <c r="D672" s="360">
        <v>32477</v>
      </c>
      <c r="E672" s="360">
        <v>32477</v>
      </c>
      <c r="F672" s="360">
        <v>32497</v>
      </c>
      <c r="G672" s="360">
        <v>32527</v>
      </c>
      <c r="H672" s="360">
        <v>32456</v>
      </c>
    </row>
    <row r="673" spans="1:8" x14ac:dyDescent="0.2">
      <c r="A673" s="359" t="s">
        <v>1631</v>
      </c>
      <c r="B673" s="359"/>
      <c r="C673" s="359" t="s">
        <v>1632</v>
      </c>
      <c r="D673" s="360">
        <v>59495</v>
      </c>
      <c r="E673" s="360">
        <v>59495</v>
      </c>
      <c r="F673" s="360">
        <v>59403</v>
      </c>
      <c r="G673" s="360">
        <v>59410</v>
      </c>
      <c r="H673" s="360">
        <v>59227</v>
      </c>
    </row>
    <row r="674" spans="1:8" x14ac:dyDescent="0.2">
      <c r="A674" s="359" t="s">
        <v>1633</v>
      </c>
      <c r="B674" s="359"/>
      <c r="C674" s="359" t="s">
        <v>1634</v>
      </c>
      <c r="D674" s="360">
        <v>30038</v>
      </c>
      <c r="E674" s="360">
        <v>30038</v>
      </c>
      <c r="F674" s="360">
        <v>30034</v>
      </c>
      <c r="G674" s="360">
        <v>29937</v>
      </c>
      <c r="H674" s="360">
        <v>29951</v>
      </c>
    </row>
    <row r="675" spans="1:8" x14ac:dyDescent="0.2">
      <c r="A675" s="359" t="s">
        <v>1635</v>
      </c>
      <c r="B675" s="359"/>
      <c r="C675" s="359" t="s">
        <v>1636</v>
      </c>
      <c r="D675" s="360">
        <v>66380</v>
      </c>
      <c r="E675" s="360">
        <v>66380</v>
      </c>
      <c r="F675" s="360">
        <v>66349</v>
      </c>
      <c r="G675" s="360">
        <v>66296</v>
      </c>
      <c r="H675" s="360">
        <v>65912</v>
      </c>
    </row>
    <row r="676" spans="1:8" x14ac:dyDescent="0.2">
      <c r="A676" s="359" t="s">
        <v>1637</v>
      </c>
      <c r="B676" s="359"/>
      <c r="C676" s="359" t="s">
        <v>1638</v>
      </c>
      <c r="D676" s="360">
        <v>60088</v>
      </c>
      <c r="E676" s="360">
        <v>60088</v>
      </c>
      <c r="F676" s="360">
        <v>60102</v>
      </c>
      <c r="G676" s="360">
        <v>60189</v>
      </c>
      <c r="H676" s="360">
        <v>60327</v>
      </c>
    </row>
    <row r="677" spans="1:8" x14ac:dyDescent="0.2">
      <c r="A677" s="359" t="s">
        <v>1639</v>
      </c>
      <c r="B677" s="359"/>
      <c r="C677" s="359" t="s">
        <v>1640</v>
      </c>
      <c r="D677" s="360">
        <v>25748</v>
      </c>
      <c r="E677" s="360">
        <v>25748</v>
      </c>
      <c r="F677" s="360">
        <v>25761</v>
      </c>
      <c r="G677" s="360">
        <v>25775</v>
      </c>
      <c r="H677" s="360">
        <v>25759</v>
      </c>
    </row>
    <row r="678" spans="1:8" x14ac:dyDescent="0.2">
      <c r="A678" s="359" t="s">
        <v>1641</v>
      </c>
      <c r="B678" s="359"/>
      <c r="C678" s="359" t="s">
        <v>1642</v>
      </c>
      <c r="D678" s="360">
        <v>67044</v>
      </c>
      <c r="E678" s="360">
        <v>67044</v>
      </c>
      <c r="F678" s="360">
        <v>67186</v>
      </c>
      <c r="G678" s="360">
        <v>67795</v>
      </c>
      <c r="H678" s="360">
        <v>68468</v>
      </c>
    </row>
    <row r="679" spans="1:8" x14ac:dyDescent="0.2">
      <c r="A679" s="359" t="s">
        <v>1643</v>
      </c>
      <c r="B679" s="359"/>
      <c r="C679" s="359" t="s">
        <v>1644</v>
      </c>
      <c r="D679" s="360">
        <v>67531</v>
      </c>
      <c r="E679" s="360">
        <v>67532</v>
      </c>
      <c r="F679" s="360">
        <v>67650</v>
      </c>
      <c r="G679" s="360">
        <v>67383</v>
      </c>
      <c r="H679" s="360">
        <v>67966</v>
      </c>
    </row>
    <row r="680" spans="1:8" x14ac:dyDescent="0.2">
      <c r="A680" s="359" t="s">
        <v>1645</v>
      </c>
      <c r="B680" s="359"/>
      <c r="C680" s="359" t="s">
        <v>1646</v>
      </c>
      <c r="D680" s="360">
        <v>13833</v>
      </c>
      <c r="E680" s="360">
        <v>13833</v>
      </c>
      <c r="F680" s="360">
        <v>13837</v>
      </c>
      <c r="G680" s="360">
        <v>13783</v>
      </c>
      <c r="H680" s="360">
        <v>13640</v>
      </c>
    </row>
    <row r="681" spans="1:8" x14ac:dyDescent="0.2">
      <c r="A681" s="359" t="s">
        <v>1647</v>
      </c>
      <c r="B681" s="359"/>
      <c r="C681" s="359" t="s">
        <v>1648</v>
      </c>
      <c r="D681" s="360">
        <v>36299</v>
      </c>
      <c r="E681" s="360">
        <v>36299</v>
      </c>
      <c r="F681" s="360">
        <v>36422</v>
      </c>
      <c r="G681" s="360">
        <v>36848</v>
      </c>
      <c r="H681" s="360">
        <v>37276</v>
      </c>
    </row>
    <row r="682" spans="1:8" x14ac:dyDescent="0.2">
      <c r="A682" s="359" t="s">
        <v>1649</v>
      </c>
      <c r="B682" s="359"/>
      <c r="C682" s="359" t="s">
        <v>1650</v>
      </c>
      <c r="D682" s="360">
        <v>29393</v>
      </c>
      <c r="E682" s="360">
        <v>29393</v>
      </c>
      <c r="F682" s="360">
        <v>29364</v>
      </c>
      <c r="G682" s="360">
        <v>29301</v>
      </c>
      <c r="H682" s="360">
        <v>28891</v>
      </c>
    </row>
    <row r="683" spans="1:8" x14ac:dyDescent="0.2">
      <c r="A683" s="359" t="s">
        <v>1651</v>
      </c>
      <c r="B683" s="359"/>
      <c r="C683" s="359" t="s">
        <v>1652</v>
      </c>
      <c r="D683" s="360">
        <v>84823</v>
      </c>
      <c r="E683" s="360">
        <v>84823</v>
      </c>
      <c r="F683" s="360">
        <v>84872</v>
      </c>
      <c r="G683" s="360">
        <v>84812</v>
      </c>
      <c r="H683" s="360">
        <v>85164</v>
      </c>
    </row>
    <row r="684" spans="1:8" x14ac:dyDescent="0.2">
      <c r="A684" s="359" t="s">
        <v>1653</v>
      </c>
      <c r="B684" s="359"/>
      <c r="C684" s="359" t="s">
        <v>1654</v>
      </c>
      <c r="D684" s="360">
        <v>36157</v>
      </c>
      <c r="E684" s="360">
        <v>36157</v>
      </c>
      <c r="F684" s="360">
        <v>36104</v>
      </c>
      <c r="G684" s="360">
        <v>36356</v>
      </c>
      <c r="H684" s="360">
        <v>36094</v>
      </c>
    </row>
    <row r="685" spans="1:8" x14ac:dyDescent="0.2">
      <c r="A685" s="359" t="s">
        <v>1655</v>
      </c>
      <c r="B685" s="359"/>
      <c r="C685" s="359" t="s">
        <v>1656</v>
      </c>
      <c r="D685" s="360">
        <v>41869</v>
      </c>
      <c r="E685" s="360">
        <v>41869</v>
      </c>
      <c r="F685" s="360">
        <v>42012</v>
      </c>
      <c r="G685" s="360">
        <v>42039</v>
      </c>
      <c r="H685" s="360">
        <v>42086</v>
      </c>
    </row>
    <row r="686" spans="1:8" x14ac:dyDescent="0.2">
      <c r="A686" s="359" t="s">
        <v>1657</v>
      </c>
      <c r="B686" s="359"/>
      <c r="C686" s="359" t="s">
        <v>1658</v>
      </c>
      <c r="D686" s="360">
        <v>35571</v>
      </c>
      <c r="E686" s="360">
        <v>35571</v>
      </c>
      <c r="F686" s="360">
        <v>35648</v>
      </c>
      <c r="G686" s="360">
        <v>35596</v>
      </c>
      <c r="H686" s="360">
        <v>35417</v>
      </c>
    </row>
    <row r="687" spans="1:8" x14ac:dyDescent="0.2">
      <c r="A687" s="359" t="s">
        <v>1659</v>
      </c>
      <c r="B687" s="359"/>
      <c r="C687" s="359" t="s">
        <v>1660</v>
      </c>
      <c r="D687" s="360">
        <v>22935</v>
      </c>
      <c r="E687" s="360">
        <v>22935</v>
      </c>
      <c r="F687" s="360">
        <v>22844</v>
      </c>
      <c r="G687" s="360">
        <v>22979</v>
      </c>
      <c r="H687" s="360">
        <v>23072</v>
      </c>
    </row>
    <row r="688" spans="1:8" x14ac:dyDescent="0.2">
      <c r="A688" s="359" t="s">
        <v>1661</v>
      </c>
      <c r="B688" s="359"/>
      <c r="C688" s="359" t="s">
        <v>1662</v>
      </c>
      <c r="D688" s="360">
        <v>44947</v>
      </c>
      <c r="E688" s="360">
        <v>44949</v>
      </c>
      <c r="F688" s="360">
        <v>44942</v>
      </c>
      <c r="G688" s="360">
        <v>44976</v>
      </c>
      <c r="H688" s="360">
        <v>44952</v>
      </c>
    </row>
    <row r="689" spans="1:8" x14ac:dyDescent="0.2">
      <c r="A689" s="359" t="s">
        <v>1663</v>
      </c>
      <c r="B689" s="359"/>
      <c r="C689" s="359" t="s">
        <v>1664</v>
      </c>
      <c r="D689" s="360">
        <v>30617</v>
      </c>
      <c r="E689" s="360">
        <v>30617</v>
      </c>
      <c r="F689" s="360">
        <v>30659</v>
      </c>
      <c r="G689" s="360">
        <v>30872</v>
      </c>
      <c r="H689" s="360">
        <v>30883</v>
      </c>
    </row>
    <row r="690" spans="1:8" x14ac:dyDescent="0.2">
      <c r="A690" s="359" t="s">
        <v>1665</v>
      </c>
      <c r="B690" s="359"/>
      <c r="C690" s="359" t="s">
        <v>1666</v>
      </c>
      <c r="D690" s="360">
        <v>46682</v>
      </c>
      <c r="E690" s="360">
        <v>46683</v>
      </c>
      <c r="F690" s="360">
        <v>46660</v>
      </c>
      <c r="G690" s="360">
        <v>46775</v>
      </c>
      <c r="H690" s="360">
        <v>46773</v>
      </c>
    </row>
    <row r="691" spans="1:8" x14ac:dyDescent="0.2">
      <c r="A691" s="359" t="s">
        <v>1667</v>
      </c>
      <c r="B691" s="359"/>
      <c r="C691" s="359" t="s">
        <v>1668</v>
      </c>
      <c r="D691" s="360">
        <v>26370</v>
      </c>
      <c r="E691" s="360">
        <v>26370</v>
      </c>
      <c r="F691" s="360">
        <v>26402</v>
      </c>
      <c r="G691" s="360">
        <v>26340</v>
      </c>
      <c r="H691" s="360">
        <v>26249</v>
      </c>
    </row>
    <row r="692" spans="1:8" x14ac:dyDescent="0.2">
      <c r="A692" s="359" t="s">
        <v>1669</v>
      </c>
      <c r="B692" s="359"/>
      <c r="C692" s="359" t="s">
        <v>1670</v>
      </c>
      <c r="D692" s="360">
        <v>22952</v>
      </c>
      <c r="E692" s="360">
        <v>22952</v>
      </c>
      <c r="F692" s="360">
        <v>22991</v>
      </c>
      <c r="G692" s="360">
        <v>23276</v>
      </c>
      <c r="H692" s="360">
        <v>23547</v>
      </c>
    </row>
    <row r="693" spans="1:8" x14ac:dyDescent="0.2">
      <c r="A693" s="359" t="s">
        <v>1671</v>
      </c>
      <c r="B693" s="359"/>
      <c r="C693" s="359" t="s">
        <v>1672</v>
      </c>
      <c r="D693" s="360">
        <v>30305</v>
      </c>
      <c r="E693" s="360">
        <v>30305</v>
      </c>
      <c r="F693" s="360">
        <v>30270</v>
      </c>
      <c r="G693" s="360">
        <v>30250</v>
      </c>
      <c r="H693" s="360">
        <v>30013</v>
      </c>
    </row>
    <row r="694" spans="1:8" x14ac:dyDescent="0.2">
      <c r="A694" s="359" t="s">
        <v>1673</v>
      </c>
      <c r="B694" s="359"/>
      <c r="C694" s="359" t="s">
        <v>1674</v>
      </c>
      <c r="D694" s="360">
        <v>39238</v>
      </c>
      <c r="E694" s="360">
        <v>39241</v>
      </c>
      <c r="F694" s="360">
        <v>39245</v>
      </c>
      <c r="G694" s="360">
        <v>39513</v>
      </c>
      <c r="H694" s="360">
        <v>39517</v>
      </c>
    </row>
    <row r="695" spans="1:8" x14ac:dyDescent="0.2">
      <c r="A695" s="359" t="s">
        <v>1675</v>
      </c>
      <c r="B695" s="359"/>
      <c r="C695" s="359" t="s">
        <v>1676</v>
      </c>
      <c r="D695" s="360">
        <v>36743</v>
      </c>
      <c r="E695" s="360">
        <v>36745</v>
      </c>
      <c r="F695" s="360">
        <v>36730</v>
      </c>
      <c r="G695" s="360">
        <v>36449</v>
      </c>
      <c r="H695" s="360">
        <v>36168</v>
      </c>
    </row>
    <row r="696" spans="1:8" x14ac:dyDescent="0.2">
      <c r="A696" s="359" t="s">
        <v>1677</v>
      </c>
      <c r="B696" s="359"/>
      <c r="C696" s="359" t="s">
        <v>1678</v>
      </c>
      <c r="D696" s="360">
        <v>38966</v>
      </c>
      <c r="E696" s="360">
        <v>38966</v>
      </c>
      <c r="F696" s="360">
        <v>38948</v>
      </c>
      <c r="G696" s="360">
        <v>38810</v>
      </c>
      <c r="H696" s="360">
        <v>38581</v>
      </c>
    </row>
    <row r="697" spans="1:8" x14ac:dyDescent="0.2">
      <c r="A697" s="359" t="s">
        <v>1679</v>
      </c>
      <c r="B697" s="359"/>
      <c r="C697" s="359" t="s">
        <v>1680</v>
      </c>
      <c r="D697" s="360">
        <v>126369</v>
      </c>
      <c r="E697" s="360">
        <v>126369</v>
      </c>
      <c r="F697" s="360">
        <v>126505</v>
      </c>
      <c r="G697" s="360">
        <v>126927</v>
      </c>
      <c r="H697" s="360">
        <v>126696</v>
      </c>
    </row>
    <row r="698" spans="1:8" x14ac:dyDescent="0.2">
      <c r="A698" s="359" t="s">
        <v>1681</v>
      </c>
      <c r="B698" s="359"/>
      <c r="C698" s="359" t="s">
        <v>1682</v>
      </c>
      <c r="D698" s="360">
        <v>17950</v>
      </c>
      <c r="E698" s="360">
        <v>17950</v>
      </c>
      <c r="F698" s="360">
        <v>18018</v>
      </c>
      <c r="G698" s="360">
        <v>18196</v>
      </c>
      <c r="H698" s="360">
        <v>18159</v>
      </c>
    </row>
    <row r="699" spans="1:8" x14ac:dyDescent="0.2">
      <c r="A699" s="359" t="s">
        <v>1683</v>
      </c>
      <c r="B699" s="359"/>
      <c r="C699" s="359" t="s">
        <v>1684</v>
      </c>
      <c r="D699" s="360">
        <v>28705</v>
      </c>
      <c r="E699" s="360">
        <v>28705</v>
      </c>
      <c r="F699" s="360">
        <v>28715</v>
      </c>
      <c r="G699" s="360">
        <v>28642</v>
      </c>
      <c r="H699" s="360">
        <v>28680</v>
      </c>
    </row>
    <row r="700" spans="1:8" x14ac:dyDescent="0.2">
      <c r="A700" s="359" t="s">
        <v>1685</v>
      </c>
      <c r="B700" s="359"/>
      <c r="C700" s="359" t="s">
        <v>1686</v>
      </c>
      <c r="D700" s="360">
        <v>86771</v>
      </c>
      <c r="E700" s="360">
        <v>86771</v>
      </c>
      <c r="F700" s="360">
        <v>86888</v>
      </c>
      <c r="G700" s="360">
        <v>87276</v>
      </c>
      <c r="H700" s="360">
        <v>87597</v>
      </c>
    </row>
    <row r="701" spans="1:8" x14ac:dyDescent="0.2">
      <c r="A701" s="359" t="s">
        <v>1687</v>
      </c>
      <c r="B701" s="359"/>
      <c r="C701" s="359" t="s">
        <v>1688</v>
      </c>
      <c r="D701" s="360">
        <v>134168</v>
      </c>
      <c r="E701" s="360">
        <v>134168</v>
      </c>
      <c r="F701" s="360">
        <v>134410</v>
      </c>
      <c r="G701" s="360">
        <v>134976</v>
      </c>
      <c r="H701" s="360">
        <v>135496</v>
      </c>
    </row>
    <row r="702" spans="1:8" x14ac:dyDescent="0.2">
      <c r="A702" s="359" t="s">
        <v>1689</v>
      </c>
      <c r="B702" s="359"/>
      <c r="C702" s="359" t="s">
        <v>1690</v>
      </c>
      <c r="D702" s="360">
        <v>32612</v>
      </c>
      <c r="E702" s="360">
        <v>32612</v>
      </c>
      <c r="F702" s="360">
        <v>32583</v>
      </c>
      <c r="G702" s="360">
        <v>32496</v>
      </c>
      <c r="H702" s="360">
        <v>32537</v>
      </c>
    </row>
    <row r="703" spans="1:8" x14ac:dyDescent="0.2">
      <c r="A703" s="359" t="s">
        <v>1691</v>
      </c>
      <c r="B703" s="359"/>
      <c r="C703" s="359" t="s">
        <v>1692</v>
      </c>
      <c r="D703" s="360">
        <v>32428</v>
      </c>
      <c r="E703" s="360">
        <v>32428</v>
      </c>
      <c r="F703" s="360">
        <v>32455</v>
      </c>
      <c r="G703" s="360">
        <v>32353</v>
      </c>
      <c r="H703" s="360">
        <v>32554</v>
      </c>
    </row>
    <row r="704" spans="1:8" x14ac:dyDescent="0.2">
      <c r="A704" s="359" t="s">
        <v>1693</v>
      </c>
      <c r="B704" s="359"/>
      <c r="C704" s="359" t="s">
        <v>1694</v>
      </c>
      <c r="D704" s="360">
        <v>46920</v>
      </c>
      <c r="E704" s="360">
        <v>46920</v>
      </c>
      <c r="F704" s="360">
        <v>46881</v>
      </c>
      <c r="G704" s="360">
        <v>46885</v>
      </c>
      <c r="H704" s="360">
        <v>46718</v>
      </c>
    </row>
    <row r="705" spans="1:8" x14ac:dyDescent="0.2">
      <c r="A705" s="359" t="s">
        <v>1695</v>
      </c>
      <c r="B705" s="359"/>
      <c r="C705" s="359" t="s">
        <v>1696</v>
      </c>
      <c r="D705" s="360">
        <v>24552</v>
      </c>
      <c r="E705" s="360">
        <v>24552</v>
      </c>
      <c r="F705" s="360">
        <v>24760</v>
      </c>
      <c r="G705" s="360">
        <v>24697</v>
      </c>
      <c r="H705" s="360">
        <v>24473</v>
      </c>
    </row>
    <row r="706" spans="1:8" x14ac:dyDescent="0.2">
      <c r="A706" s="359" t="s">
        <v>1697</v>
      </c>
      <c r="B706" s="359"/>
      <c r="C706" s="359" t="s">
        <v>1698</v>
      </c>
      <c r="D706" s="360">
        <v>51599</v>
      </c>
      <c r="E706" s="360">
        <v>51597</v>
      </c>
      <c r="F706" s="360">
        <v>51555</v>
      </c>
      <c r="G706" s="360">
        <v>51528</v>
      </c>
      <c r="H706" s="360">
        <v>51795</v>
      </c>
    </row>
    <row r="707" spans="1:8" x14ac:dyDescent="0.2">
      <c r="A707" s="359" t="s">
        <v>1699</v>
      </c>
      <c r="B707" s="359"/>
      <c r="C707" s="359" t="s">
        <v>1700</v>
      </c>
      <c r="D707" s="360">
        <v>32923</v>
      </c>
      <c r="E707" s="360">
        <v>32923</v>
      </c>
      <c r="F707" s="360">
        <v>33121</v>
      </c>
      <c r="G707" s="360">
        <v>33005</v>
      </c>
      <c r="H707" s="360">
        <v>33394</v>
      </c>
    </row>
    <row r="708" spans="1:8" x14ac:dyDescent="0.2">
      <c r="A708" s="359" t="s">
        <v>1701</v>
      </c>
      <c r="B708" s="359"/>
      <c r="C708" s="359" t="s">
        <v>1702</v>
      </c>
      <c r="D708" s="360">
        <v>81442</v>
      </c>
      <c r="E708" s="360">
        <v>81442</v>
      </c>
      <c r="F708" s="360">
        <v>81273</v>
      </c>
      <c r="G708" s="360">
        <v>81088</v>
      </c>
      <c r="H708" s="360">
        <v>80671</v>
      </c>
    </row>
    <row r="709" spans="1:8" x14ac:dyDescent="0.2">
      <c r="A709" s="359" t="s">
        <v>1703</v>
      </c>
      <c r="B709" s="359"/>
      <c r="C709" s="359" t="s">
        <v>1704</v>
      </c>
      <c r="D709" s="360">
        <v>61778</v>
      </c>
      <c r="E709" s="360">
        <v>61778</v>
      </c>
      <c r="F709" s="360">
        <v>61706</v>
      </c>
      <c r="G709" s="360">
        <v>61567</v>
      </c>
      <c r="H709" s="360">
        <v>61475</v>
      </c>
    </row>
    <row r="710" spans="1:8" x14ac:dyDescent="0.2">
      <c r="A710" s="359" t="s">
        <v>1705</v>
      </c>
      <c r="B710" s="359"/>
      <c r="C710" s="359" t="s">
        <v>1706</v>
      </c>
      <c r="D710" s="360">
        <v>65778</v>
      </c>
      <c r="E710" s="360">
        <v>65778</v>
      </c>
      <c r="F710" s="360">
        <v>65689</v>
      </c>
      <c r="G710" s="360">
        <v>65411</v>
      </c>
      <c r="H710" s="360">
        <v>65378</v>
      </c>
    </row>
    <row r="711" spans="1:8" x14ac:dyDescent="0.2">
      <c r="A711" s="359" t="s">
        <v>1707</v>
      </c>
      <c r="B711" s="359"/>
      <c r="C711" s="359" t="s">
        <v>1708</v>
      </c>
      <c r="D711" s="360">
        <v>70061</v>
      </c>
      <c r="E711" s="360">
        <v>70061</v>
      </c>
      <c r="F711" s="360">
        <v>69978</v>
      </c>
      <c r="G711" s="360">
        <v>69675</v>
      </c>
      <c r="H711" s="360">
        <v>69330</v>
      </c>
    </row>
    <row r="712" spans="1:8" x14ac:dyDescent="0.2">
      <c r="A712" s="359" t="s">
        <v>1709</v>
      </c>
      <c r="B712" s="359"/>
      <c r="C712" s="359" t="s">
        <v>1710</v>
      </c>
      <c r="D712" s="360">
        <v>44996</v>
      </c>
      <c r="E712" s="360">
        <v>44996</v>
      </c>
      <c r="F712" s="360">
        <v>45051</v>
      </c>
      <c r="G712" s="360">
        <v>44949</v>
      </c>
      <c r="H712" s="360">
        <v>44998</v>
      </c>
    </row>
    <row r="713" spans="1:8" x14ac:dyDescent="0.2">
      <c r="A713" s="359" t="s">
        <v>1711</v>
      </c>
      <c r="B713" s="359"/>
      <c r="C713" s="359" t="s">
        <v>1712</v>
      </c>
      <c r="D713" s="360">
        <v>66501</v>
      </c>
      <c r="E713" s="360">
        <v>66501</v>
      </c>
      <c r="F713" s="360">
        <v>66459</v>
      </c>
      <c r="G713" s="360">
        <v>66535</v>
      </c>
      <c r="H713" s="360">
        <v>66238</v>
      </c>
    </row>
    <row r="714" spans="1:8" x14ac:dyDescent="0.2">
      <c r="A714" s="359" t="s">
        <v>1713</v>
      </c>
      <c r="B714" s="359"/>
      <c r="C714" s="359" t="s">
        <v>1714</v>
      </c>
      <c r="D714" s="360">
        <v>67077</v>
      </c>
      <c r="E714" s="360">
        <v>67077</v>
      </c>
      <c r="F714" s="360">
        <v>67116</v>
      </c>
      <c r="G714" s="360">
        <v>67563</v>
      </c>
      <c r="H714" s="360">
        <v>67906</v>
      </c>
    </row>
    <row r="715" spans="1:8" x14ac:dyDescent="0.2">
      <c r="A715" s="359" t="s">
        <v>1715</v>
      </c>
      <c r="B715" s="359"/>
      <c r="C715" s="359" t="s">
        <v>1716</v>
      </c>
      <c r="D715" s="360">
        <v>25857</v>
      </c>
      <c r="E715" s="360">
        <v>25857</v>
      </c>
      <c r="F715" s="360">
        <v>25854</v>
      </c>
      <c r="G715" s="360">
        <v>25759</v>
      </c>
      <c r="H715" s="360">
        <v>25543</v>
      </c>
    </row>
    <row r="716" spans="1:8" x14ac:dyDescent="0.2">
      <c r="A716" s="359" t="s">
        <v>1717</v>
      </c>
      <c r="B716" s="359"/>
      <c r="C716" s="359" t="s">
        <v>1718</v>
      </c>
      <c r="D716" s="360">
        <v>23370</v>
      </c>
      <c r="E716" s="360">
        <v>23370</v>
      </c>
      <c r="F716" s="360">
        <v>23389</v>
      </c>
      <c r="G716" s="360">
        <v>23244</v>
      </c>
      <c r="H716" s="360">
        <v>23339</v>
      </c>
    </row>
    <row r="717" spans="1:8" x14ac:dyDescent="0.2">
      <c r="A717" s="359" t="s">
        <v>1719</v>
      </c>
      <c r="B717" s="359"/>
      <c r="C717" s="359" t="s">
        <v>1720</v>
      </c>
      <c r="D717" s="360">
        <v>65631</v>
      </c>
      <c r="E717" s="360">
        <v>65632</v>
      </c>
      <c r="F717" s="360">
        <v>65744</v>
      </c>
      <c r="G717" s="360">
        <v>67302</v>
      </c>
      <c r="H717" s="360">
        <v>67450</v>
      </c>
    </row>
    <row r="718" spans="1:8" x14ac:dyDescent="0.2">
      <c r="A718" s="359" t="s">
        <v>1721</v>
      </c>
      <c r="B718" s="359"/>
      <c r="C718" s="359" t="s">
        <v>1722</v>
      </c>
      <c r="D718" s="360">
        <v>40648</v>
      </c>
      <c r="E718" s="360">
        <v>40648</v>
      </c>
      <c r="F718" s="360">
        <v>40674</v>
      </c>
      <c r="G718" s="360">
        <v>40879</v>
      </c>
      <c r="H718" s="360">
        <v>40857</v>
      </c>
    </row>
    <row r="719" spans="1:8" x14ac:dyDescent="0.2">
      <c r="A719" s="359" t="s">
        <v>1723</v>
      </c>
      <c r="B719" s="359"/>
      <c r="C719" s="359" t="s">
        <v>1724</v>
      </c>
      <c r="D719" s="360">
        <v>35021</v>
      </c>
      <c r="E719" s="360">
        <v>35021</v>
      </c>
      <c r="F719" s="360">
        <v>35015</v>
      </c>
      <c r="G719" s="360">
        <v>34984</v>
      </c>
      <c r="H719" s="360">
        <v>34793</v>
      </c>
    </row>
    <row r="720" spans="1:8" x14ac:dyDescent="0.2">
      <c r="A720" s="359" t="s">
        <v>1725</v>
      </c>
      <c r="B720" s="359"/>
      <c r="C720" s="359" t="s">
        <v>1726</v>
      </c>
      <c r="D720" s="360">
        <v>67972</v>
      </c>
      <c r="E720" s="360">
        <v>67975</v>
      </c>
      <c r="F720" s="360">
        <v>67823</v>
      </c>
      <c r="G720" s="360">
        <v>67072</v>
      </c>
      <c r="H720" s="360">
        <v>66702</v>
      </c>
    </row>
    <row r="721" spans="1:8" x14ac:dyDescent="0.2">
      <c r="A721" s="359" t="s">
        <v>1727</v>
      </c>
      <c r="B721" s="359"/>
      <c r="C721" s="359" t="s">
        <v>1728</v>
      </c>
      <c r="D721" s="360">
        <v>23370</v>
      </c>
      <c r="E721" s="360">
        <v>23370</v>
      </c>
      <c r="F721" s="360">
        <v>23380</v>
      </c>
      <c r="G721" s="360">
        <v>23458</v>
      </c>
      <c r="H721" s="360">
        <v>23419</v>
      </c>
    </row>
    <row r="722" spans="1:8" x14ac:dyDescent="0.2">
      <c r="A722" s="359" t="s">
        <v>1729</v>
      </c>
      <c r="B722" s="359"/>
      <c r="C722" s="359" t="s">
        <v>1730</v>
      </c>
      <c r="D722" s="360">
        <v>51749</v>
      </c>
      <c r="E722" s="360">
        <v>51749</v>
      </c>
      <c r="F722" s="360">
        <v>51679</v>
      </c>
      <c r="G722" s="360">
        <v>51567</v>
      </c>
      <c r="H722" s="360">
        <v>51307</v>
      </c>
    </row>
    <row r="723" spans="1:8" x14ac:dyDescent="0.2">
      <c r="A723" s="359" t="s">
        <v>1731</v>
      </c>
      <c r="B723" s="359"/>
      <c r="C723" s="359" t="s">
        <v>1732</v>
      </c>
      <c r="D723" s="360">
        <v>37121</v>
      </c>
      <c r="E723" s="360">
        <v>37121</v>
      </c>
      <c r="F723" s="360">
        <v>37185</v>
      </c>
      <c r="G723" s="360">
        <v>37476</v>
      </c>
      <c r="H723" s="360">
        <v>37544</v>
      </c>
    </row>
    <row r="724" spans="1:8" x14ac:dyDescent="0.2">
      <c r="A724" s="359" t="s">
        <v>1733</v>
      </c>
      <c r="B724" s="359"/>
      <c r="C724" s="359" t="s">
        <v>1734</v>
      </c>
      <c r="D724" s="360">
        <v>17490</v>
      </c>
      <c r="E724" s="360">
        <v>17490</v>
      </c>
      <c r="F724" s="360">
        <v>17490</v>
      </c>
      <c r="G724" s="360">
        <v>17556</v>
      </c>
      <c r="H724" s="360">
        <v>17512</v>
      </c>
    </row>
    <row r="725" spans="1:8" x14ac:dyDescent="0.2">
      <c r="A725" s="359" t="s">
        <v>1735</v>
      </c>
      <c r="B725" s="359"/>
      <c r="C725" s="359" t="s">
        <v>1736</v>
      </c>
      <c r="D725" s="360">
        <v>45837</v>
      </c>
      <c r="E725" s="360">
        <v>45837</v>
      </c>
      <c r="F725" s="360">
        <v>45818</v>
      </c>
      <c r="G725" s="360">
        <v>45645</v>
      </c>
      <c r="H725" s="360">
        <v>45048</v>
      </c>
    </row>
    <row r="726" spans="1:8" x14ac:dyDescent="0.2">
      <c r="A726" s="359" t="s">
        <v>1737</v>
      </c>
      <c r="B726" s="359"/>
      <c r="C726" s="359" t="s">
        <v>1738</v>
      </c>
      <c r="D726" s="360">
        <v>53535</v>
      </c>
      <c r="E726" s="360">
        <v>53535</v>
      </c>
      <c r="F726" s="360">
        <v>53507</v>
      </c>
      <c r="G726" s="360">
        <v>53514</v>
      </c>
      <c r="H726" s="360">
        <v>53057</v>
      </c>
    </row>
    <row r="727" spans="1:8" x14ac:dyDescent="0.2">
      <c r="A727" s="359" t="s">
        <v>1739</v>
      </c>
      <c r="B727" s="359"/>
      <c r="C727" s="359" t="s">
        <v>1740</v>
      </c>
      <c r="D727" s="360">
        <v>39839</v>
      </c>
      <c r="E727" s="360">
        <v>39839</v>
      </c>
      <c r="F727" s="360">
        <v>39846</v>
      </c>
      <c r="G727" s="360">
        <v>39909</v>
      </c>
      <c r="H727" s="360">
        <v>39839</v>
      </c>
    </row>
    <row r="728" spans="1:8" x14ac:dyDescent="0.2">
      <c r="A728" s="359" t="s">
        <v>1741</v>
      </c>
      <c r="B728" s="359"/>
      <c r="C728" s="359" t="s">
        <v>1742</v>
      </c>
      <c r="D728" s="360">
        <v>29180</v>
      </c>
      <c r="E728" s="360">
        <v>29180</v>
      </c>
      <c r="F728" s="360">
        <v>29140</v>
      </c>
      <c r="G728" s="360">
        <v>29227</v>
      </c>
      <c r="H728" s="360">
        <v>29356</v>
      </c>
    </row>
    <row r="729" spans="1:8" x14ac:dyDescent="0.2">
      <c r="A729" s="359" t="s">
        <v>1743</v>
      </c>
      <c r="B729" s="359"/>
      <c r="C729" s="359" t="s">
        <v>1744</v>
      </c>
      <c r="D729" s="360">
        <v>88765</v>
      </c>
      <c r="E729" s="360">
        <v>88765</v>
      </c>
      <c r="F729" s="360">
        <v>88690</v>
      </c>
      <c r="G729" s="360">
        <v>88107</v>
      </c>
      <c r="H729" s="360">
        <v>87598</v>
      </c>
    </row>
    <row r="730" spans="1:8" x14ac:dyDescent="0.2">
      <c r="A730" s="359" t="s">
        <v>1745</v>
      </c>
      <c r="B730" s="359"/>
      <c r="C730" s="359" t="s">
        <v>1746</v>
      </c>
      <c r="D730" s="360">
        <v>43857</v>
      </c>
      <c r="E730" s="360">
        <v>43857</v>
      </c>
      <c r="F730" s="360">
        <v>43897</v>
      </c>
      <c r="G730" s="360">
        <v>44021</v>
      </c>
      <c r="H730" s="360">
        <v>44072</v>
      </c>
    </row>
    <row r="731" spans="1:8" x14ac:dyDescent="0.2">
      <c r="A731" s="359" t="s">
        <v>1747</v>
      </c>
      <c r="B731" s="359"/>
      <c r="C731" s="359" t="s">
        <v>1748</v>
      </c>
      <c r="D731" s="360">
        <v>107449</v>
      </c>
      <c r="E731" s="360">
        <v>107449</v>
      </c>
      <c r="F731" s="360">
        <v>107484</v>
      </c>
      <c r="G731" s="360">
        <v>107518</v>
      </c>
      <c r="H731" s="360">
        <v>107111</v>
      </c>
    </row>
    <row r="732" spans="1:8" x14ac:dyDescent="0.2">
      <c r="A732" s="359" t="s">
        <v>1749</v>
      </c>
      <c r="B732" s="359"/>
      <c r="C732" s="359" t="s">
        <v>1750</v>
      </c>
      <c r="D732" s="360">
        <v>28743</v>
      </c>
      <c r="E732" s="360">
        <v>28743</v>
      </c>
      <c r="F732" s="360">
        <v>28740</v>
      </c>
      <c r="G732" s="360">
        <v>28492</v>
      </c>
      <c r="H732" s="360">
        <v>28392</v>
      </c>
    </row>
    <row r="733" spans="1:8" x14ac:dyDescent="0.2">
      <c r="A733" s="359" t="s">
        <v>1751</v>
      </c>
      <c r="B733" s="359"/>
      <c r="C733" s="359" t="s">
        <v>1752</v>
      </c>
      <c r="D733" s="360">
        <v>25529</v>
      </c>
      <c r="E733" s="360">
        <v>25529</v>
      </c>
      <c r="F733" s="360">
        <v>25468</v>
      </c>
      <c r="G733" s="360">
        <v>25593</v>
      </c>
      <c r="H733" s="360">
        <v>25621</v>
      </c>
    </row>
    <row r="734" spans="1:8" x14ac:dyDescent="0.2">
      <c r="A734" s="359" t="s">
        <v>1753</v>
      </c>
      <c r="B734" s="359"/>
      <c r="C734" s="359" t="s">
        <v>1754</v>
      </c>
      <c r="D734" s="360">
        <v>31848</v>
      </c>
      <c r="E734" s="360">
        <v>31850</v>
      </c>
      <c r="F734" s="360">
        <v>31856</v>
      </c>
      <c r="G734" s="360">
        <v>31885</v>
      </c>
      <c r="H734" s="360">
        <v>32236</v>
      </c>
    </row>
    <row r="735" spans="1:8" x14ac:dyDescent="0.2">
      <c r="A735" s="359" t="s">
        <v>1755</v>
      </c>
      <c r="B735" s="359"/>
      <c r="C735" s="359" t="s">
        <v>1756</v>
      </c>
      <c r="D735" s="360">
        <v>28691</v>
      </c>
      <c r="E735" s="360">
        <v>28691</v>
      </c>
      <c r="F735" s="360">
        <v>28701</v>
      </c>
      <c r="G735" s="360">
        <v>28677</v>
      </c>
      <c r="H735" s="360">
        <v>28183</v>
      </c>
    </row>
    <row r="736" spans="1:8" x14ac:dyDescent="0.2">
      <c r="A736" s="359" t="s">
        <v>1757</v>
      </c>
      <c r="B736" s="359"/>
      <c r="C736" s="359" t="s">
        <v>1758</v>
      </c>
      <c r="D736" s="360">
        <v>55149</v>
      </c>
      <c r="E736" s="360">
        <v>55151</v>
      </c>
      <c r="F736" s="360">
        <v>55034</v>
      </c>
      <c r="G736" s="360">
        <v>54343</v>
      </c>
      <c r="H736" s="360">
        <v>55363</v>
      </c>
    </row>
    <row r="737" spans="1:8" x14ac:dyDescent="0.2">
      <c r="A737" s="359" t="s">
        <v>1759</v>
      </c>
      <c r="B737" s="359"/>
      <c r="C737" s="359" t="s">
        <v>1760</v>
      </c>
      <c r="D737" s="360">
        <v>28111</v>
      </c>
      <c r="E737" s="360">
        <v>28111</v>
      </c>
      <c r="F737" s="360">
        <v>28085</v>
      </c>
      <c r="G737" s="360">
        <v>28120</v>
      </c>
      <c r="H737" s="360">
        <v>27856</v>
      </c>
    </row>
    <row r="738" spans="1:8" x14ac:dyDescent="0.2">
      <c r="A738" s="359" t="s">
        <v>1761</v>
      </c>
      <c r="B738" s="359"/>
      <c r="C738" s="359" t="s">
        <v>1762</v>
      </c>
      <c r="D738" s="360">
        <v>69540</v>
      </c>
      <c r="E738" s="360">
        <v>69540</v>
      </c>
      <c r="F738" s="360">
        <v>69935</v>
      </c>
      <c r="G738" s="360">
        <v>72284</v>
      </c>
      <c r="H738" s="360">
        <v>73146</v>
      </c>
    </row>
    <row r="739" spans="1:8" x14ac:dyDescent="0.2">
      <c r="A739" s="359" t="s">
        <v>1763</v>
      </c>
      <c r="B739" s="359"/>
      <c r="C739" s="359" t="s">
        <v>1764</v>
      </c>
      <c r="D739" s="360">
        <v>22835</v>
      </c>
      <c r="E739" s="360">
        <v>22835</v>
      </c>
      <c r="F739" s="360">
        <v>22848</v>
      </c>
      <c r="G739" s="360">
        <v>22964</v>
      </c>
      <c r="H739" s="360">
        <v>23146</v>
      </c>
    </row>
    <row r="740" spans="1:8" x14ac:dyDescent="0.2">
      <c r="A740" s="359" t="s">
        <v>1765</v>
      </c>
      <c r="B740" s="359"/>
      <c r="C740" s="359" t="s">
        <v>1766</v>
      </c>
      <c r="D740" s="360">
        <v>25414</v>
      </c>
      <c r="E740" s="360">
        <v>25414</v>
      </c>
      <c r="F740" s="360">
        <v>25431</v>
      </c>
      <c r="G740" s="360">
        <v>25218</v>
      </c>
      <c r="H740" s="360">
        <v>25330</v>
      </c>
    </row>
    <row r="741" spans="1:8" x14ac:dyDescent="0.2">
      <c r="A741" s="359" t="s">
        <v>1767</v>
      </c>
      <c r="B741" s="359"/>
      <c r="C741" s="359" t="s">
        <v>1768</v>
      </c>
      <c r="D741" s="360">
        <v>41276</v>
      </c>
      <c r="E741" s="360">
        <v>41276</v>
      </c>
      <c r="F741" s="360">
        <v>41177</v>
      </c>
      <c r="G741" s="360">
        <v>40877</v>
      </c>
      <c r="H741" s="360">
        <v>40725</v>
      </c>
    </row>
    <row r="742" spans="1:8" x14ac:dyDescent="0.2">
      <c r="A742" s="359" t="s">
        <v>1769</v>
      </c>
      <c r="B742" s="359"/>
      <c r="C742" s="359" t="s">
        <v>1770</v>
      </c>
      <c r="D742" s="360">
        <v>66469</v>
      </c>
      <c r="E742" s="360">
        <v>66469</v>
      </c>
      <c r="F742" s="360">
        <v>66719</v>
      </c>
      <c r="G742" s="360">
        <v>67354</v>
      </c>
      <c r="H742" s="360">
        <v>67632</v>
      </c>
    </row>
    <row r="743" spans="1:8" x14ac:dyDescent="0.2">
      <c r="A743" s="359" t="s">
        <v>1771</v>
      </c>
      <c r="B743" s="359"/>
      <c r="C743" s="359" t="s">
        <v>1772</v>
      </c>
      <c r="D743" s="360">
        <v>54650</v>
      </c>
      <c r="E743" s="360">
        <v>54650</v>
      </c>
      <c r="F743" s="360">
        <v>54591</v>
      </c>
      <c r="G743" s="360">
        <v>54234</v>
      </c>
      <c r="H743" s="360">
        <v>53697</v>
      </c>
    </row>
    <row r="744" spans="1:8" x14ac:dyDescent="0.2">
      <c r="A744" s="359" t="s">
        <v>1773</v>
      </c>
      <c r="B744" s="359"/>
      <c r="C744" s="359" t="s">
        <v>1774</v>
      </c>
      <c r="D744" s="360">
        <v>37244</v>
      </c>
      <c r="E744" s="360">
        <v>37244</v>
      </c>
      <c r="F744" s="360">
        <v>37298</v>
      </c>
      <c r="G744" s="360">
        <v>37882</v>
      </c>
      <c r="H744" s="360">
        <v>38184</v>
      </c>
    </row>
    <row r="745" spans="1:8" x14ac:dyDescent="0.2">
      <c r="A745" s="359" t="s">
        <v>1775</v>
      </c>
      <c r="B745" s="359"/>
      <c r="C745" s="359" t="s">
        <v>1776</v>
      </c>
      <c r="D745" s="360">
        <v>89120</v>
      </c>
      <c r="E745" s="360">
        <v>89120</v>
      </c>
      <c r="F745" s="360">
        <v>89643</v>
      </c>
      <c r="G745" s="360">
        <v>90775</v>
      </c>
      <c r="H745" s="360">
        <v>91723</v>
      </c>
    </row>
    <row r="746" spans="1:8" x14ac:dyDescent="0.2">
      <c r="A746" s="359" t="s">
        <v>1777</v>
      </c>
      <c r="B746" s="359"/>
      <c r="C746" s="359" t="s">
        <v>1778</v>
      </c>
      <c r="D746" s="360">
        <v>45498</v>
      </c>
      <c r="E746" s="360">
        <v>45498</v>
      </c>
      <c r="F746" s="360">
        <v>45674</v>
      </c>
      <c r="G746" s="360">
        <v>45822</v>
      </c>
      <c r="H746" s="360">
        <v>46137</v>
      </c>
    </row>
    <row r="747" spans="1:8" x14ac:dyDescent="0.2">
      <c r="A747" s="359" t="s">
        <v>1779</v>
      </c>
      <c r="B747" s="359"/>
      <c r="C747" s="359" t="s">
        <v>1780</v>
      </c>
      <c r="D747" s="360">
        <v>41513</v>
      </c>
      <c r="E747" s="360">
        <v>41513</v>
      </c>
      <c r="F747" s="360">
        <v>41547</v>
      </c>
      <c r="G747" s="360">
        <v>41261</v>
      </c>
      <c r="H747" s="360">
        <v>41048</v>
      </c>
    </row>
    <row r="748" spans="1:8" x14ac:dyDescent="0.2">
      <c r="A748" s="359" t="s">
        <v>1781</v>
      </c>
      <c r="B748" s="359"/>
      <c r="C748" s="359" t="s">
        <v>1782</v>
      </c>
      <c r="D748" s="360">
        <v>27038</v>
      </c>
      <c r="E748" s="360">
        <v>27038</v>
      </c>
      <c r="F748" s="360">
        <v>27078</v>
      </c>
      <c r="G748" s="360">
        <v>26274</v>
      </c>
      <c r="H748" s="360">
        <v>26223</v>
      </c>
    </row>
    <row r="749" spans="1:8" x14ac:dyDescent="0.2">
      <c r="A749" s="359" t="s">
        <v>1783</v>
      </c>
      <c r="B749" s="359"/>
      <c r="C749" s="359" t="s">
        <v>1784</v>
      </c>
      <c r="D749" s="360">
        <v>73673</v>
      </c>
      <c r="E749" s="360">
        <v>73673</v>
      </c>
      <c r="F749" s="360">
        <v>73682</v>
      </c>
      <c r="G749" s="360">
        <v>73601</v>
      </c>
      <c r="H749" s="360">
        <v>73561</v>
      </c>
    </row>
    <row r="750" spans="1:8" x14ac:dyDescent="0.2">
      <c r="A750" s="359" t="s">
        <v>1785</v>
      </c>
      <c r="B750" s="359"/>
      <c r="C750" s="359" t="s">
        <v>1786</v>
      </c>
      <c r="D750" s="360">
        <v>70311</v>
      </c>
      <c r="E750" s="360">
        <v>70311</v>
      </c>
      <c r="F750" s="360">
        <v>70321</v>
      </c>
      <c r="G750" s="360">
        <v>70636</v>
      </c>
      <c r="H750" s="360">
        <v>70617</v>
      </c>
    </row>
    <row r="751" spans="1:8" x14ac:dyDescent="0.2">
      <c r="A751" s="359" t="s">
        <v>1787</v>
      </c>
      <c r="B751" s="359"/>
      <c r="C751" s="359" t="s">
        <v>1788</v>
      </c>
      <c r="D751" s="360">
        <v>32334</v>
      </c>
      <c r="E751" s="360">
        <v>32334</v>
      </c>
      <c r="F751" s="360">
        <v>32407</v>
      </c>
      <c r="G751" s="360">
        <v>32441</v>
      </c>
      <c r="H751" s="360">
        <v>32663</v>
      </c>
    </row>
    <row r="752" spans="1:8" x14ac:dyDescent="0.2">
      <c r="A752" s="359" t="s">
        <v>1789</v>
      </c>
      <c r="B752" s="359"/>
      <c r="C752" s="359" t="s">
        <v>1790</v>
      </c>
      <c r="D752" s="360">
        <v>44396</v>
      </c>
      <c r="E752" s="360">
        <v>44396</v>
      </c>
      <c r="F752" s="360">
        <v>44466</v>
      </c>
      <c r="G752" s="360">
        <v>44824</v>
      </c>
      <c r="H752" s="360">
        <v>44924</v>
      </c>
    </row>
    <row r="753" spans="1:8" x14ac:dyDescent="0.2">
      <c r="A753" s="359" t="s">
        <v>1791</v>
      </c>
      <c r="B753" s="359"/>
      <c r="C753" s="359" t="s">
        <v>1792</v>
      </c>
      <c r="D753" s="360">
        <v>38827</v>
      </c>
      <c r="E753" s="360">
        <v>38827</v>
      </c>
      <c r="F753" s="360">
        <v>38786</v>
      </c>
      <c r="G753" s="360">
        <v>38786</v>
      </c>
      <c r="H753" s="360">
        <v>38720</v>
      </c>
    </row>
    <row r="754" spans="1:8" x14ac:dyDescent="0.2">
      <c r="A754" s="359" t="s">
        <v>1793</v>
      </c>
      <c r="B754" s="359"/>
      <c r="C754" s="359" t="s">
        <v>1794</v>
      </c>
      <c r="D754" s="360">
        <v>60921</v>
      </c>
      <c r="E754" s="360">
        <v>60930</v>
      </c>
      <c r="F754" s="360">
        <v>61026</v>
      </c>
      <c r="G754" s="360">
        <v>61245</v>
      </c>
      <c r="H754" s="360">
        <v>60705</v>
      </c>
    </row>
    <row r="755" spans="1:8" x14ac:dyDescent="0.2">
      <c r="A755" s="359" t="s">
        <v>1795</v>
      </c>
      <c r="B755" s="359"/>
      <c r="C755" s="359" t="s">
        <v>1796</v>
      </c>
      <c r="D755" s="360">
        <v>37191</v>
      </c>
      <c r="E755" s="360">
        <v>37191</v>
      </c>
      <c r="F755" s="360">
        <v>37278</v>
      </c>
      <c r="G755" s="360">
        <v>37487</v>
      </c>
      <c r="H755" s="360">
        <v>37655</v>
      </c>
    </row>
    <row r="756" spans="1:8" x14ac:dyDescent="0.2">
      <c r="A756" s="359" t="s">
        <v>1797</v>
      </c>
      <c r="B756" s="359"/>
      <c r="C756" s="359" t="s">
        <v>1798</v>
      </c>
      <c r="D756" s="360">
        <v>42745</v>
      </c>
      <c r="E756" s="360">
        <v>42745</v>
      </c>
      <c r="F756" s="360">
        <v>42726</v>
      </c>
      <c r="G756" s="360">
        <v>42744</v>
      </c>
      <c r="H756" s="360">
        <v>42879</v>
      </c>
    </row>
    <row r="757" spans="1:8" x14ac:dyDescent="0.2">
      <c r="A757" s="359" t="s">
        <v>1799</v>
      </c>
      <c r="B757" s="359"/>
      <c r="C757" s="359" t="s">
        <v>1800</v>
      </c>
      <c r="D757" s="360">
        <v>70990</v>
      </c>
      <c r="E757" s="360">
        <v>70988</v>
      </c>
      <c r="F757" s="360">
        <v>71093</v>
      </c>
      <c r="G757" s="360">
        <v>70757</v>
      </c>
      <c r="H757" s="360">
        <v>70596</v>
      </c>
    </row>
    <row r="758" spans="1:8" x14ac:dyDescent="0.2">
      <c r="A758" s="359" t="s">
        <v>1801</v>
      </c>
      <c r="B758" s="359"/>
      <c r="C758" s="359" t="s">
        <v>1802</v>
      </c>
      <c r="D758" s="360">
        <v>64524</v>
      </c>
      <c r="E758" s="360">
        <v>64524</v>
      </c>
      <c r="F758" s="360">
        <v>64618</v>
      </c>
      <c r="G758" s="360">
        <v>65612</v>
      </c>
      <c r="H758" s="360">
        <v>66034</v>
      </c>
    </row>
    <row r="759" spans="1:8" x14ac:dyDescent="0.2">
      <c r="A759" s="359" t="s">
        <v>1803</v>
      </c>
      <c r="B759" s="359"/>
      <c r="C759" s="359" t="s">
        <v>1804</v>
      </c>
      <c r="D759" s="360">
        <v>53119</v>
      </c>
      <c r="E759" s="360">
        <v>53119</v>
      </c>
      <c r="F759" s="360">
        <v>53354</v>
      </c>
      <c r="G759" s="360">
        <v>53154</v>
      </c>
      <c r="H759" s="360">
        <v>52487</v>
      </c>
    </row>
    <row r="760" spans="1:8" x14ac:dyDescent="0.2">
      <c r="A760" s="359" t="s">
        <v>1805</v>
      </c>
      <c r="B760" s="359"/>
      <c r="C760" s="359" t="s">
        <v>1806</v>
      </c>
      <c r="D760" s="360">
        <v>39566</v>
      </c>
      <c r="E760" s="360">
        <v>39566</v>
      </c>
      <c r="F760" s="360">
        <v>39534</v>
      </c>
      <c r="G760" s="360">
        <v>39531</v>
      </c>
      <c r="H760" s="360">
        <v>39436</v>
      </c>
    </row>
    <row r="761" spans="1:8" x14ac:dyDescent="0.2">
      <c r="A761" s="359" t="s">
        <v>1807</v>
      </c>
      <c r="B761" s="359"/>
      <c r="C761" s="359" t="s">
        <v>1808</v>
      </c>
      <c r="D761" s="360">
        <v>37508</v>
      </c>
      <c r="E761" s="360">
        <v>37508</v>
      </c>
      <c r="F761" s="360">
        <v>37534</v>
      </c>
      <c r="G761" s="360">
        <v>37444</v>
      </c>
      <c r="H761" s="360">
        <v>37576</v>
      </c>
    </row>
    <row r="762" spans="1:8" x14ac:dyDescent="0.2">
      <c r="A762" s="359" t="s">
        <v>1809</v>
      </c>
      <c r="B762" s="359"/>
      <c r="C762" s="359" t="s">
        <v>1810</v>
      </c>
      <c r="D762" s="360">
        <v>49462</v>
      </c>
      <c r="E762" s="360">
        <v>49462</v>
      </c>
      <c r="F762" s="360">
        <v>49451</v>
      </c>
      <c r="G762" s="360">
        <v>49386</v>
      </c>
      <c r="H762" s="360">
        <v>49345</v>
      </c>
    </row>
    <row r="763" spans="1:8" x14ac:dyDescent="0.2">
      <c r="A763" s="359" t="s">
        <v>1811</v>
      </c>
      <c r="B763" s="359"/>
      <c r="C763" s="359" t="s">
        <v>1812</v>
      </c>
      <c r="D763" s="360">
        <v>91108</v>
      </c>
      <c r="E763" s="360">
        <v>91108</v>
      </c>
      <c r="F763" s="360">
        <v>90964</v>
      </c>
      <c r="G763" s="360">
        <v>90399</v>
      </c>
      <c r="H763" s="360">
        <v>89871</v>
      </c>
    </row>
    <row r="764" spans="1:8" x14ac:dyDescent="0.2">
      <c r="A764" s="359" t="s">
        <v>1813</v>
      </c>
      <c r="B764" s="359"/>
      <c r="C764" s="359" t="s">
        <v>1814</v>
      </c>
      <c r="D764" s="360">
        <v>92582</v>
      </c>
      <c r="E764" s="360">
        <v>92582</v>
      </c>
      <c r="F764" s="360">
        <v>92565</v>
      </c>
      <c r="G764" s="360">
        <v>92485</v>
      </c>
      <c r="H764" s="360">
        <v>92392</v>
      </c>
    </row>
    <row r="765" spans="1:8" x14ac:dyDescent="0.2">
      <c r="A765" s="359" t="s">
        <v>1815</v>
      </c>
      <c r="B765" s="359"/>
      <c r="C765" s="359" t="s">
        <v>1816</v>
      </c>
      <c r="D765" s="360">
        <v>46034</v>
      </c>
      <c r="E765" s="360">
        <v>46032</v>
      </c>
      <c r="F765" s="360">
        <v>46022</v>
      </c>
      <c r="G765" s="360">
        <v>45885</v>
      </c>
      <c r="H765" s="360">
        <v>46151</v>
      </c>
    </row>
    <row r="766" spans="1:8" x14ac:dyDescent="0.2">
      <c r="A766" s="359" t="s">
        <v>1817</v>
      </c>
      <c r="B766" s="359"/>
      <c r="C766" s="359" t="s">
        <v>1818</v>
      </c>
      <c r="D766" s="360">
        <v>35662</v>
      </c>
      <c r="E766" s="360">
        <v>35662</v>
      </c>
      <c r="F766" s="360">
        <v>35631</v>
      </c>
      <c r="G766" s="360">
        <v>35477</v>
      </c>
      <c r="H766" s="360">
        <v>35571</v>
      </c>
    </row>
    <row r="767" spans="1:8" x14ac:dyDescent="0.2">
      <c r="A767" s="359" t="s">
        <v>1819</v>
      </c>
      <c r="B767" s="359"/>
      <c r="C767" s="359" t="s">
        <v>1820</v>
      </c>
      <c r="D767" s="360">
        <v>36842</v>
      </c>
      <c r="E767" s="360">
        <v>36842</v>
      </c>
      <c r="F767" s="360">
        <v>36819</v>
      </c>
      <c r="G767" s="360">
        <v>36706</v>
      </c>
      <c r="H767" s="360">
        <v>36602</v>
      </c>
    </row>
    <row r="768" spans="1:8" x14ac:dyDescent="0.2">
      <c r="A768" s="359" t="s">
        <v>1821</v>
      </c>
      <c r="B768" s="359"/>
      <c r="C768" s="359" t="s">
        <v>1822</v>
      </c>
      <c r="D768" s="360">
        <v>25893</v>
      </c>
      <c r="E768" s="360">
        <v>25893</v>
      </c>
      <c r="F768" s="360">
        <v>25867</v>
      </c>
      <c r="G768" s="360">
        <v>25686</v>
      </c>
      <c r="H768" s="360">
        <v>25425</v>
      </c>
    </row>
    <row r="769" spans="1:8" x14ac:dyDescent="0.2">
      <c r="A769" s="359" t="s">
        <v>1823</v>
      </c>
      <c r="B769" s="359"/>
      <c r="C769" s="359" t="s">
        <v>1824</v>
      </c>
      <c r="D769" s="360">
        <v>47420</v>
      </c>
      <c r="E769" s="360">
        <v>47420</v>
      </c>
      <c r="F769" s="360">
        <v>47380</v>
      </c>
      <c r="G769" s="360">
        <v>47448</v>
      </c>
      <c r="H769" s="360">
        <v>47303</v>
      </c>
    </row>
    <row r="770" spans="1:8" x14ac:dyDescent="0.2">
      <c r="A770" s="359" t="s">
        <v>1825</v>
      </c>
      <c r="B770" s="359"/>
      <c r="C770" s="359" t="s">
        <v>1826</v>
      </c>
      <c r="D770" s="360">
        <v>48271</v>
      </c>
      <c r="E770" s="360">
        <v>48271</v>
      </c>
      <c r="F770" s="360">
        <v>48298</v>
      </c>
      <c r="G770" s="360">
        <v>48319</v>
      </c>
      <c r="H770" s="360">
        <v>48286</v>
      </c>
    </row>
    <row r="771" spans="1:8" x14ac:dyDescent="0.2">
      <c r="A771" s="359" t="s">
        <v>1827</v>
      </c>
      <c r="B771" s="359"/>
      <c r="C771" s="359" t="s">
        <v>1828</v>
      </c>
      <c r="D771" s="360">
        <v>37590</v>
      </c>
      <c r="E771" s="360">
        <v>37590</v>
      </c>
      <c r="F771" s="360">
        <v>37576</v>
      </c>
      <c r="G771" s="360">
        <v>37427</v>
      </c>
      <c r="H771" s="360">
        <v>37373</v>
      </c>
    </row>
    <row r="772" spans="1:8" x14ac:dyDescent="0.2">
      <c r="A772" s="359" t="s">
        <v>1829</v>
      </c>
      <c r="B772" s="359"/>
      <c r="C772" s="359" t="s">
        <v>1830</v>
      </c>
      <c r="D772" s="360">
        <v>28525</v>
      </c>
      <c r="E772" s="360">
        <v>28525</v>
      </c>
      <c r="F772" s="360">
        <v>28478</v>
      </c>
      <c r="G772" s="360">
        <v>28199</v>
      </c>
      <c r="H772" s="360">
        <v>28161</v>
      </c>
    </row>
    <row r="773" spans="1:8" x14ac:dyDescent="0.2">
      <c r="A773" s="359" t="s">
        <v>1831</v>
      </c>
      <c r="B773" s="359"/>
      <c r="C773" s="359" t="s">
        <v>1832</v>
      </c>
      <c r="D773" s="360">
        <v>69340</v>
      </c>
      <c r="E773" s="360">
        <v>69340</v>
      </c>
      <c r="F773" s="360">
        <v>69220</v>
      </c>
      <c r="G773" s="360">
        <v>69225</v>
      </c>
      <c r="H773" s="360">
        <v>69306</v>
      </c>
    </row>
    <row r="774" spans="1:8" x14ac:dyDescent="0.2">
      <c r="A774" s="359" t="s">
        <v>1833</v>
      </c>
      <c r="B774" s="359"/>
      <c r="C774" s="359" t="s">
        <v>1834</v>
      </c>
      <c r="D774" s="360">
        <v>59626</v>
      </c>
      <c r="E774" s="360">
        <v>59626</v>
      </c>
      <c r="F774" s="360">
        <v>59596</v>
      </c>
      <c r="G774" s="360">
        <v>59388</v>
      </c>
      <c r="H774" s="360">
        <v>59280</v>
      </c>
    </row>
    <row r="775" spans="1:8" x14ac:dyDescent="0.2">
      <c r="A775" s="359" t="s">
        <v>1835</v>
      </c>
      <c r="B775" s="359"/>
      <c r="C775" s="359" t="s">
        <v>1836</v>
      </c>
      <c r="D775" s="360">
        <v>78506</v>
      </c>
      <c r="E775" s="360">
        <v>78506</v>
      </c>
      <c r="F775" s="360">
        <v>78701</v>
      </c>
      <c r="G775" s="360">
        <v>79033</v>
      </c>
      <c r="H775" s="360">
        <v>79177</v>
      </c>
    </row>
    <row r="776" spans="1:8" x14ac:dyDescent="0.2">
      <c r="A776" s="359" t="s">
        <v>1837</v>
      </c>
      <c r="B776" s="359"/>
      <c r="C776" s="359" t="s">
        <v>1838</v>
      </c>
      <c r="D776" s="360">
        <v>111944</v>
      </c>
      <c r="E776" s="360">
        <v>111944</v>
      </c>
      <c r="F776" s="360">
        <v>111886</v>
      </c>
      <c r="G776" s="360">
        <v>112331</v>
      </c>
      <c r="H776" s="360">
        <v>112232</v>
      </c>
    </row>
    <row r="777" spans="1:8" x14ac:dyDescent="0.2">
      <c r="A777" s="359" t="s">
        <v>1839</v>
      </c>
      <c r="B777" s="359"/>
      <c r="C777" s="359" t="s">
        <v>1840</v>
      </c>
      <c r="D777" s="360">
        <v>54984</v>
      </c>
      <c r="E777" s="360">
        <v>54984</v>
      </c>
      <c r="F777" s="360">
        <v>54940</v>
      </c>
      <c r="G777" s="360">
        <v>54709</v>
      </c>
      <c r="H777" s="360">
        <v>54272</v>
      </c>
    </row>
    <row r="778" spans="1:8" x14ac:dyDescent="0.2">
      <c r="A778" s="359" t="s">
        <v>1841</v>
      </c>
      <c r="B778" s="359"/>
      <c r="C778" s="359" t="s">
        <v>1842</v>
      </c>
      <c r="D778" s="360">
        <v>39996</v>
      </c>
      <c r="E778" s="360">
        <v>39996</v>
      </c>
      <c r="F778" s="360">
        <v>40009</v>
      </c>
      <c r="G778" s="360">
        <v>39551</v>
      </c>
      <c r="H778" s="360">
        <v>39467</v>
      </c>
    </row>
    <row r="779" spans="1:8" x14ac:dyDescent="0.2">
      <c r="A779" s="359" t="s">
        <v>1843</v>
      </c>
      <c r="B779" s="359"/>
      <c r="C779" s="359" t="s">
        <v>1844</v>
      </c>
      <c r="D779" s="360">
        <v>80317</v>
      </c>
      <c r="E779" s="360">
        <v>80317</v>
      </c>
      <c r="F779" s="360">
        <v>80254</v>
      </c>
      <c r="G779" s="360">
        <v>79866</v>
      </c>
      <c r="H779" s="360">
        <v>79458</v>
      </c>
    </row>
    <row r="780" spans="1:8" x14ac:dyDescent="0.2">
      <c r="A780" s="359" t="s">
        <v>1845</v>
      </c>
      <c r="B780" s="359"/>
      <c r="C780" s="359" t="s">
        <v>1846</v>
      </c>
      <c r="D780" s="360">
        <v>62259</v>
      </c>
      <c r="E780" s="360">
        <v>62253</v>
      </c>
      <c r="F780" s="360">
        <v>62203</v>
      </c>
      <c r="G780" s="360">
        <v>61982</v>
      </c>
      <c r="H780" s="360">
        <v>61709</v>
      </c>
    </row>
    <row r="781" spans="1:8" x14ac:dyDescent="0.2">
      <c r="A781" s="359" t="s">
        <v>1847</v>
      </c>
      <c r="B781" s="359"/>
      <c r="C781" s="359" t="s">
        <v>1848</v>
      </c>
      <c r="D781" s="360">
        <v>53936</v>
      </c>
      <c r="E781" s="360">
        <v>53935</v>
      </c>
      <c r="F781" s="360">
        <v>53954</v>
      </c>
      <c r="G781" s="360">
        <v>53271</v>
      </c>
      <c r="H781" s="360">
        <v>53269</v>
      </c>
    </row>
    <row r="782" spans="1:8" x14ac:dyDescent="0.2">
      <c r="A782" s="359" t="s">
        <v>1849</v>
      </c>
      <c r="B782" s="359"/>
      <c r="C782" s="359" t="s">
        <v>1850</v>
      </c>
      <c r="D782" s="360">
        <v>83384</v>
      </c>
      <c r="E782" s="360">
        <v>83384</v>
      </c>
      <c r="F782" s="360">
        <v>83470</v>
      </c>
      <c r="G782" s="360">
        <v>83488</v>
      </c>
      <c r="H782" s="360">
        <v>83662</v>
      </c>
    </row>
    <row r="783" spans="1:8" x14ac:dyDescent="0.2">
      <c r="A783" s="359" t="s">
        <v>1851</v>
      </c>
      <c r="B783" s="359"/>
      <c r="C783" s="359" t="s">
        <v>1852</v>
      </c>
      <c r="D783" s="360">
        <v>92501</v>
      </c>
      <c r="E783" s="360">
        <v>92494</v>
      </c>
      <c r="F783" s="360">
        <v>92300</v>
      </c>
      <c r="G783" s="360">
        <v>91729</v>
      </c>
      <c r="H783" s="360">
        <v>91476</v>
      </c>
    </row>
    <row r="784" spans="1:8" x14ac:dyDescent="0.2">
      <c r="A784" s="359" t="s">
        <v>1853</v>
      </c>
      <c r="B784" s="359"/>
      <c r="C784" s="359" t="s">
        <v>1854</v>
      </c>
      <c r="D784" s="360">
        <v>22381</v>
      </c>
      <c r="E784" s="360">
        <v>22381</v>
      </c>
      <c r="F784" s="360">
        <v>22384</v>
      </c>
      <c r="G784" s="360">
        <v>22484</v>
      </c>
      <c r="H784" s="360">
        <v>22443</v>
      </c>
    </row>
    <row r="785" spans="1:8" x14ac:dyDescent="0.2">
      <c r="A785" s="359" t="s">
        <v>1855</v>
      </c>
      <c r="B785" s="359"/>
      <c r="C785" s="359" t="s">
        <v>1856</v>
      </c>
      <c r="D785" s="360">
        <v>18728</v>
      </c>
      <c r="E785" s="360">
        <v>18728</v>
      </c>
      <c r="F785" s="360">
        <v>18802</v>
      </c>
      <c r="G785" s="360">
        <v>18882</v>
      </c>
      <c r="H785" s="360">
        <v>19005</v>
      </c>
    </row>
    <row r="786" spans="1:8" x14ac:dyDescent="0.2">
      <c r="A786" s="359" t="s">
        <v>1857</v>
      </c>
      <c r="B786" s="359"/>
      <c r="C786" s="359" t="s">
        <v>1858</v>
      </c>
      <c r="D786" s="360">
        <v>25992</v>
      </c>
      <c r="E786" s="360">
        <v>25996</v>
      </c>
      <c r="F786" s="360">
        <v>26021</v>
      </c>
      <c r="G786" s="360">
        <v>25931</v>
      </c>
      <c r="H786" s="360">
        <v>25906</v>
      </c>
    </row>
    <row r="787" spans="1:8" x14ac:dyDescent="0.2">
      <c r="A787" s="359" t="s">
        <v>1859</v>
      </c>
      <c r="B787" s="359"/>
      <c r="C787" s="359" t="s">
        <v>1860</v>
      </c>
      <c r="D787" s="360">
        <v>154908</v>
      </c>
      <c r="E787" s="360">
        <v>154908</v>
      </c>
      <c r="F787" s="360">
        <v>154704</v>
      </c>
      <c r="G787" s="360">
        <v>154092</v>
      </c>
      <c r="H787" s="360">
        <v>153182</v>
      </c>
    </row>
    <row r="788" spans="1:8" x14ac:dyDescent="0.2">
      <c r="A788" s="359" t="s">
        <v>1861</v>
      </c>
      <c r="B788" s="359"/>
      <c r="C788" s="359" t="s">
        <v>1862</v>
      </c>
      <c r="D788" s="360">
        <v>44378</v>
      </c>
      <c r="E788" s="360">
        <v>44378</v>
      </c>
      <c r="F788" s="360">
        <v>44394</v>
      </c>
      <c r="G788" s="360">
        <v>44149</v>
      </c>
      <c r="H788" s="360">
        <v>44055</v>
      </c>
    </row>
    <row r="789" spans="1:8" x14ac:dyDescent="0.2">
      <c r="A789" s="359" t="s">
        <v>1863</v>
      </c>
      <c r="B789" s="359"/>
      <c r="C789" s="359" t="s">
        <v>1864</v>
      </c>
      <c r="D789" s="360">
        <v>36576</v>
      </c>
      <c r="E789" s="360">
        <v>36576</v>
      </c>
      <c r="F789" s="360">
        <v>36514</v>
      </c>
      <c r="G789" s="360">
        <v>36541</v>
      </c>
      <c r="H789" s="360">
        <v>36322</v>
      </c>
    </row>
    <row r="790" spans="1:8" x14ac:dyDescent="0.2">
      <c r="A790" s="359" t="s">
        <v>1865</v>
      </c>
      <c r="B790" s="359"/>
      <c r="C790" s="359" t="s">
        <v>1866</v>
      </c>
      <c r="D790" s="360">
        <v>70648</v>
      </c>
      <c r="E790" s="360">
        <v>70648</v>
      </c>
      <c r="F790" s="360">
        <v>70610</v>
      </c>
      <c r="G790" s="360">
        <v>69934</v>
      </c>
      <c r="H790" s="360">
        <v>69232</v>
      </c>
    </row>
    <row r="791" spans="1:8" x14ac:dyDescent="0.2">
      <c r="A791" s="359" t="s">
        <v>1867</v>
      </c>
      <c r="B791" s="359"/>
      <c r="C791" s="359" t="s">
        <v>1868</v>
      </c>
      <c r="D791" s="360">
        <v>47351</v>
      </c>
      <c r="E791" s="360">
        <v>47357</v>
      </c>
      <c r="F791" s="360">
        <v>47514</v>
      </c>
      <c r="G791" s="360">
        <v>48430</v>
      </c>
      <c r="H791" s="360">
        <v>49495</v>
      </c>
    </row>
    <row r="792" spans="1:8" x14ac:dyDescent="0.2">
      <c r="A792" s="359" t="s">
        <v>1869</v>
      </c>
      <c r="B792" s="359"/>
      <c r="C792" s="359" t="s">
        <v>1870</v>
      </c>
      <c r="D792" s="360">
        <v>59916</v>
      </c>
      <c r="E792" s="360">
        <v>59919</v>
      </c>
      <c r="F792" s="360">
        <v>60015</v>
      </c>
      <c r="G792" s="360">
        <v>60114</v>
      </c>
      <c r="H792" s="360">
        <v>60436</v>
      </c>
    </row>
    <row r="793" spans="1:8" x14ac:dyDescent="0.2">
      <c r="A793" s="359" t="s">
        <v>1871</v>
      </c>
      <c r="B793" s="359"/>
      <c r="C793" s="359" t="s">
        <v>1872</v>
      </c>
      <c r="D793" s="360">
        <v>50251</v>
      </c>
      <c r="E793" s="360">
        <v>50251</v>
      </c>
      <c r="F793" s="360">
        <v>50333</v>
      </c>
      <c r="G793" s="360">
        <v>50141</v>
      </c>
      <c r="H793" s="360">
        <v>50444</v>
      </c>
    </row>
    <row r="794" spans="1:8" x14ac:dyDescent="0.2">
      <c r="A794" s="359" t="s">
        <v>1873</v>
      </c>
      <c r="B794" s="359"/>
      <c r="C794" s="359" t="s">
        <v>1874</v>
      </c>
      <c r="D794" s="360">
        <v>98762</v>
      </c>
      <c r="E794" s="360">
        <v>98762</v>
      </c>
      <c r="F794" s="360">
        <v>98738</v>
      </c>
      <c r="G794" s="360">
        <v>98912</v>
      </c>
      <c r="H794" s="360">
        <v>98539</v>
      </c>
    </row>
    <row r="795" spans="1:8" x14ac:dyDescent="0.2">
      <c r="A795" s="359" t="s">
        <v>1875</v>
      </c>
      <c r="B795" s="359"/>
      <c r="C795" s="359" t="s">
        <v>1876</v>
      </c>
      <c r="D795" s="360">
        <v>43946</v>
      </c>
      <c r="E795" s="360">
        <v>43946</v>
      </c>
      <c r="F795" s="360">
        <v>43882</v>
      </c>
      <c r="G795" s="360">
        <v>43347</v>
      </c>
      <c r="H795" s="360">
        <v>42963</v>
      </c>
    </row>
    <row r="796" spans="1:8" x14ac:dyDescent="0.2">
      <c r="A796" s="359" t="s">
        <v>1877</v>
      </c>
      <c r="B796" s="359"/>
      <c r="C796" s="359" t="s">
        <v>1878</v>
      </c>
      <c r="D796" s="360">
        <v>74364</v>
      </c>
      <c r="E796" s="360">
        <v>74364</v>
      </c>
      <c r="F796" s="360">
        <v>74279</v>
      </c>
      <c r="G796" s="360">
        <v>74031</v>
      </c>
      <c r="H796" s="360">
        <v>73263</v>
      </c>
    </row>
    <row r="797" spans="1:8" x14ac:dyDescent="0.2">
      <c r="A797" s="359" t="s">
        <v>1879</v>
      </c>
      <c r="B797" s="359"/>
      <c r="C797" s="359" t="s">
        <v>1880</v>
      </c>
      <c r="D797" s="360">
        <v>58458</v>
      </c>
      <c r="E797" s="360">
        <v>58458</v>
      </c>
      <c r="F797" s="360">
        <v>58428</v>
      </c>
      <c r="G797" s="360">
        <v>58356</v>
      </c>
      <c r="H797" s="360">
        <v>58190</v>
      </c>
    </row>
    <row r="798" spans="1:8" x14ac:dyDescent="0.2">
      <c r="A798" s="359" t="s">
        <v>1881</v>
      </c>
      <c r="B798" s="359"/>
      <c r="C798" s="359" t="s">
        <v>1882</v>
      </c>
      <c r="D798" s="360">
        <v>22535</v>
      </c>
      <c r="E798" s="360">
        <v>22535</v>
      </c>
      <c r="F798" s="360">
        <v>22453</v>
      </c>
      <c r="G798" s="360">
        <v>22733</v>
      </c>
      <c r="H798" s="360">
        <v>22978</v>
      </c>
    </row>
    <row r="799" spans="1:8" x14ac:dyDescent="0.2">
      <c r="A799" s="359" t="s">
        <v>1883</v>
      </c>
      <c r="B799" s="359"/>
      <c r="C799" s="359" t="s">
        <v>1884</v>
      </c>
      <c r="D799" s="360">
        <v>42090</v>
      </c>
      <c r="E799" s="360">
        <v>42090</v>
      </c>
      <c r="F799" s="360">
        <v>42195</v>
      </c>
      <c r="G799" s="360">
        <v>42752</v>
      </c>
      <c r="H799" s="360">
        <v>43163</v>
      </c>
    </row>
    <row r="800" spans="1:8" x14ac:dyDescent="0.2">
      <c r="A800" s="359" t="s">
        <v>1885</v>
      </c>
      <c r="B800" s="359"/>
      <c r="C800" s="359" t="s">
        <v>1886</v>
      </c>
      <c r="D800" s="360">
        <v>32330</v>
      </c>
      <c r="E800" s="360">
        <v>32330</v>
      </c>
      <c r="F800" s="360">
        <v>32348</v>
      </c>
      <c r="G800" s="360">
        <v>32328</v>
      </c>
      <c r="H800" s="360">
        <v>32341</v>
      </c>
    </row>
    <row r="801" spans="1:8" x14ac:dyDescent="0.2">
      <c r="A801" s="359" t="s">
        <v>1887</v>
      </c>
      <c r="B801" s="359"/>
      <c r="C801" s="359" t="s">
        <v>1888</v>
      </c>
      <c r="D801" s="360">
        <v>49793</v>
      </c>
      <c r="E801" s="360">
        <v>49789</v>
      </c>
      <c r="F801" s="360">
        <v>49833</v>
      </c>
      <c r="G801" s="360">
        <v>49987</v>
      </c>
      <c r="H801" s="360">
        <v>49811</v>
      </c>
    </row>
    <row r="802" spans="1:8" x14ac:dyDescent="0.2">
      <c r="A802" s="359" t="s">
        <v>1889</v>
      </c>
      <c r="B802" s="359"/>
      <c r="C802" s="359" t="s">
        <v>1890</v>
      </c>
      <c r="D802" s="360">
        <v>21607</v>
      </c>
      <c r="E802" s="360">
        <v>21607</v>
      </c>
      <c r="F802" s="360">
        <v>21560</v>
      </c>
      <c r="G802" s="360">
        <v>21482</v>
      </c>
      <c r="H802" s="360">
        <v>21284</v>
      </c>
    </row>
    <row r="803" spans="1:8" x14ac:dyDescent="0.2">
      <c r="A803" s="359" t="s">
        <v>1891</v>
      </c>
      <c r="B803" s="359"/>
      <c r="C803" s="359" t="s">
        <v>1892</v>
      </c>
      <c r="D803" s="360">
        <v>53597</v>
      </c>
      <c r="E803" s="360">
        <v>53597</v>
      </c>
      <c r="F803" s="360">
        <v>53544</v>
      </c>
      <c r="G803" s="360">
        <v>53495</v>
      </c>
      <c r="H803" s="360">
        <v>53144</v>
      </c>
    </row>
    <row r="804" spans="1:8" x14ac:dyDescent="0.2">
      <c r="A804" s="359" t="s">
        <v>1893</v>
      </c>
      <c r="B804" s="359"/>
      <c r="C804" s="359" t="s">
        <v>1894</v>
      </c>
      <c r="D804" s="360">
        <v>13783</v>
      </c>
      <c r="E804" s="360">
        <v>13783</v>
      </c>
      <c r="F804" s="360">
        <v>13787</v>
      </c>
      <c r="G804" s="360">
        <v>13684</v>
      </c>
      <c r="H804" s="360">
        <v>13798</v>
      </c>
    </row>
    <row r="805" spans="1:8" x14ac:dyDescent="0.2">
      <c r="A805" s="359" t="s">
        <v>1895</v>
      </c>
      <c r="B805" s="359"/>
      <c r="C805" s="359" t="s">
        <v>1896</v>
      </c>
      <c r="D805" s="360">
        <v>36903</v>
      </c>
      <c r="E805" s="360">
        <v>36903</v>
      </c>
      <c r="F805" s="360">
        <v>36781</v>
      </c>
      <c r="G805" s="360">
        <v>36575</v>
      </c>
      <c r="H805" s="360">
        <v>36486</v>
      </c>
    </row>
    <row r="806" spans="1:8" x14ac:dyDescent="0.2">
      <c r="A806" s="359" t="s">
        <v>1897</v>
      </c>
      <c r="B806" s="359"/>
      <c r="C806" s="359" t="s">
        <v>1898</v>
      </c>
      <c r="D806" s="360">
        <v>55834</v>
      </c>
      <c r="E806" s="360">
        <v>55834</v>
      </c>
      <c r="F806" s="360">
        <v>55818</v>
      </c>
      <c r="G806" s="360">
        <v>55696</v>
      </c>
      <c r="H806" s="360">
        <v>55295</v>
      </c>
    </row>
    <row r="807" spans="1:8" x14ac:dyDescent="0.2">
      <c r="A807" s="359" t="s">
        <v>1899</v>
      </c>
      <c r="B807" s="359"/>
      <c r="C807" s="359" t="s">
        <v>1900</v>
      </c>
      <c r="D807" s="360">
        <v>21361</v>
      </c>
      <c r="E807" s="360">
        <v>21361</v>
      </c>
      <c r="F807" s="360">
        <v>21404</v>
      </c>
      <c r="G807" s="360">
        <v>21619</v>
      </c>
      <c r="H807" s="360">
        <v>21846</v>
      </c>
    </row>
    <row r="808" spans="1:8" x14ac:dyDescent="0.2">
      <c r="A808" s="359" t="s">
        <v>1901</v>
      </c>
      <c r="B808" s="359"/>
      <c r="C808" s="359" t="s">
        <v>1902</v>
      </c>
      <c r="D808" s="360">
        <v>88247</v>
      </c>
      <c r="E808" s="360">
        <v>88247</v>
      </c>
      <c r="F808" s="360">
        <v>88544</v>
      </c>
      <c r="G808" s="360">
        <v>89359</v>
      </c>
      <c r="H808" s="360">
        <v>90302</v>
      </c>
    </row>
    <row r="809" spans="1:8" x14ac:dyDescent="0.2">
      <c r="A809" s="359" t="s">
        <v>1903</v>
      </c>
      <c r="B809" s="359"/>
      <c r="C809" s="359" t="s">
        <v>1904</v>
      </c>
      <c r="D809" s="360">
        <v>39134</v>
      </c>
      <c r="E809" s="360">
        <v>39134</v>
      </c>
      <c r="F809" s="360">
        <v>39170</v>
      </c>
      <c r="G809" s="360">
        <v>39172</v>
      </c>
      <c r="H809" s="360">
        <v>39361</v>
      </c>
    </row>
    <row r="810" spans="1:8" x14ac:dyDescent="0.2">
      <c r="A810" s="359" t="s">
        <v>1905</v>
      </c>
      <c r="B810" s="359"/>
      <c r="C810" s="359" t="s">
        <v>1906</v>
      </c>
      <c r="D810" s="360">
        <v>36273</v>
      </c>
      <c r="E810" s="360">
        <v>36273</v>
      </c>
      <c r="F810" s="360">
        <v>36356</v>
      </c>
      <c r="G810" s="360">
        <v>36437</v>
      </c>
      <c r="H810" s="360">
        <v>36385</v>
      </c>
    </row>
    <row r="811" spans="1:8" x14ac:dyDescent="0.2">
      <c r="A811" s="359" t="s">
        <v>1907</v>
      </c>
      <c r="B811" s="359"/>
      <c r="C811" s="359" t="s">
        <v>1908</v>
      </c>
      <c r="D811" s="360">
        <v>51208</v>
      </c>
      <c r="E811" s="360">
        <v>51208</v>
      </c>
      <c r="F811" s="360">
        <v>51171</v>
      </c>
      <c r="G811" s="360">
        <v>51265</v>
      </c>
      <c r="H811" s="360">
        <v>51087</v>
      </c>
    </row>
    <row r="812" spans="1:8" x14ac:dyDescent="0.2">
      <c r="A812" s="359" t="s">
        <v>1909</v>
      </c>
      <c r="B812" s="359"/>
      <c r="C812" s="359" t="s">
        <v>1910</v>
      </c>
      <c r="D812" s="360">
        <v>82128</v>
      </c>
      <c r="E812" s="360">
        <v>82128</v>
      </c>
      <c r="F812" s="360">
        <v>82118</v>
      </c>
      <c r="G812" s="360">
        <v>81815</v>
      </c>
      <c r="H812" s="360">
        <v>81654</v>
      </c>
    </row>
    <row r="813" spans="1:8" x14ac:dyDescent="0.2">
      <c r="A813" s="359" t="s">
        <v>1911</v>
      </c>
      <c r="B813" s="359"/>
      <c r="C813" s="359" t="s">
        <v>1912</v>
      </c>
      <c r="D813" s="360">
        <v>47051</v>
      </c>
      <c r="E813" s="360">
        <v>47051</v>
      </c>
      <c r="F813" s="360">
        <v>47017</v>
      </c>
      <c r="G813" s="360">
        <v>47044</v>
      </c>
      <c r="H813" s="360">
        <v>47024</v>
      </c>
    </row>
    <row r="814" spans="1:8" x14ac:dyDescent="0.2">
      <c r="A814" s="359" t="s">
        <v>1913</v>
      </c>
      <c r="B814" s="359"/>
      <c r="C814" s="359" t="s">
        <v>1914</v>
      </c>
      <c r="D814" s="360">
        <v>58258</v>
      </c>
      <c r="E814" s="360">
        <v>58258</v>
      </c>
      <c r="F814" s="360">
        <v>58282</v>
      </c>
      <c r="G814" s="360">
        <v>58169</v>
      </c>
      <c r="H814" s="360">
        <v>57887</v>
      </c>
    </row>
    <row r="815" spans="1:8" x14ac:dyDescent="0.2">
      <c r="A815" s="359" t="s">
        <v>1915</v>
      </c>
      <c r="B815" s="359"/>
      <c r="C815" s="359" t="s">
        <v>1916</v>
      </c>
      <c r="D815" s="360">
        <v>46562</v>
      </c>
      <c r="E815" s="360">
        <v>46562</v>
      </c>
      <c r="F815" s="360">
        <v>46433</v>
      </c>
      <c r="G815" s="360">
        <v>45952</v>
      </c>
      <c r="H815" s="360">
        <v>45831</v>
      </c>
    </row>
    <row r="816" spans="1:8" x14ac:dyDescent="0.2">
      <c r="A816" s="359" t="s">
        <v>1917</v>
      </c>
      <c r="B816" s="359"/>
      <c r="C816" s="359" t="s">
        <v>1918</v>
      </c>
      <c r="D816" s="360">
        <v>38950</v>
      </c>
      <c r="E816" s="360">
        <v>38950</v>
      </c>
      <c r="F816" s="360">
        <v>38863</v>
      </c>
      <c r="G816" s="360">
        <v>38878</v>
      </c>
      <c r="H816" s="360">
        <v>38647</v>
      </c>
    </row>
    <row r="817" spans="1:8" x14ac:dyDescent="0.2">
      <c r="A817" s="359" t="s">
        <v>1919</v>
      </c>
      <c r="B817" s="359"/>
      <c r="C817" s="359" t="s">
        <v>1920</v>
      </c>
      <c r="D817" s="360">
        <v>42794</v>
      </c>
      <c r="E817" s="360">
        <v>42794</v>
      </c>
      <c r="F817" s="360">
        <v>42820</v>
      </c>
      <c r="G817" s="360">
        <v>43055</v>
      </c>
      <c r="H817" s="360">
        <v>43053</v>
      </c>
    </row>
    <row r="818" spans="1:8" x14ac:dyDescent="0.2">
      <c r="A818" s="359" t="s">
        <v>1921</v>
      </c>
      <c r="B818" s="359"/>
      <c r="C818" s="359" t="s">
        <v>1922</v>
      </c>
      <c r="D818" s="360">
        <v>19846</v>
      </c>
      <c r="E818" s="360">
        <v>19846</v>
      </c>
      <c r="F818" s="360">
        <v>20013</v>
      </c>
      <c r="G818" s="360">
        <v>20501</v>
      </c>
      <c r="H818" s="360">
        <v>20419</v>
      </c>
    </row>
    <row r="819" spans="1:8" x14ac:dyDescent="0.2">
      <c r="A819" s="359" t="s">
        <v>1923</v>
      </c>
      <c r="B819" s="359"/>
      <c r="C819" s="359" t="s">
        <v>1924</v>
      </c>
      <c r="D819" s="360">
        <v>71404</v>
      </c>
      <c r="E819" s="360">
        <v>71404</v>
      </c>
      <c r="F819" s="360">
        <v>71533</v>
      </c>
      <c r="G819" s="360">
        <v>71814</v>
      </c>
      <c r="H819" s="360">
        <v>71863</v>
      </c>
    </row>
    <row r="820" spans="1:8" x14ac:dyDescent="0.2">
      <c r="A820" s="359" t="s">
        <v>1925</v>
      </c>
      <c r="B820" s="359"/>
      <c r="C820" s="359" t="s">
        <v>1926</v>
      </c>
      <c r="D820" s="360">
        <v>41428</v>
      </c>
      <c r="E820" s="360">
        <v>41428</v>
      </c>
      <c r="F820" s="360">
        <v>41397</v>
      </c>
      <c r="G820" s="360">
        <v>41435</v>
      </c>
      <c r="H820" s="360">
        <v>41339</v>
      </c>
    </row>
    <row r="821" spans="1:8" x14ac:dyDescent="0.2">
      <c r="A821" s="359" t="s">
        <v>1927</v>
      </c>
      <c r="B821" s="359"/>
      <c r="C821" s="359" t="s">
        <v>1928</v>
      </c>
      <c r="D821" s="360">
        <v>21381</v>
      </c>
      <c r="E821" s="360">
        <v>21381</v>
      </c>
      <c r="F821" s="360">
        <v>21335</v>
      </c>
      <c r="G821" s="360">
        <v>21370</v>
      </c>
      <c r="H821" s="360">
        <v>21609</v>
      </c>
    </row>
    <row r="822" spans="1:8" x14ac:dyDescent="0.2">
      <c r="A822" s="359" t="s">
        <v>1929</v>
      </c>
      <c r="B822" s="359"/>
      <c r="C822" s="359" t="s">
        <v>1930</v>
      </c>
      <c r="D822" s="360">
        <v>79499</v>
      </c>
      <c r="E822" s="360">
        <v>79499</v>
      </c>
      <c r="F822" s="360">
        <v>79534</v>
      </c>
      <c r="G822" s="360">
        <v>79226</v>
      </c>
      <c r="H822" s="360">
        <v>78477</v>
      </c>
    </row>
    <row r="823" spans="1:8" x14ac:dyDescent="0.2">
      <c r="A823" s="359" t="s">
        <v>1931</v>
      </c>
      <c r="B823" s="359"/>
      <c r="C823" s="359" t="s">
        <v>1932</v>
      </c>
      <c r="D823" s="360">
        <v>148289</v>
      </c>
      <c r="E823" s="360">
        <v>148289</v>
      </c>
      <c r="F823" s="360">
        <v>148199</v>
      </c>
      <c r="G823" s="360">
        <v>147592</v>
      </c>
      <c r="H823" s="360">
        <v>147063</v>
      </c>
    </row>
    <row r="824" spans="1:8" x14ac:dyDescent="0.2">
      <c r="A824" s="359" t="s">
        <v>1933</v>
      </c>
      <c r="B824" s="359"/>
      <c r="C824" s="359" t="s">
        <v>1934</v>
      </c>
      <c r="D824" s="360">
        <v>21403</v>
      </c>
      <c r="E824" s="360">
        <v>21403</v>
      </c>
      <c r="F824" s="360">
        <v>21429</v>
      </c>
      <c r="G824" s="360">
        <v>21351</v>
      </c>
      <c r="H824" s="360">
        <v>21246</v>
      </c>
    </row>
    <row r="825" spans="1:8" x14ac:dyDescent="0.2">
      <c r="A825" s="359" t="s">
        <v>1935</v>
      </c>
      <c r="B825" s="359"/>
      <c r="C825" s="359" t="s">
        <v>1936</v>
      </c>
      <c r="D825" s="360">
        <v>20978</v>
      </c>
      <c r="E825" s="360">
        <v>20978</v>
      </c>
      <c r="F825" s="360">
        <v>20896</v>
      </c>
      <c r="G825" s="360">
        <v>20662</v>
      </c>
      <c r="H825" s="360">
        <v>20729</v>
      </c>
    </row>
    <row r="826" spans="1:8" x14ac:dyDescent="0.2">
      <c r="A826" s="359" t="s">
        <v>1937</v>
      </c>
      <c r="B826" s="359"/>
      <c r="C826" s="359" t="s">
        <v>1938</v>
      </c>
      <c r="D826" s="360">
        <v>44776</v>
      </c>
      <c r="E826" s="360">
        <v>44776</v>
      </c>
      <c r="F826" s="360">
        <v>44807</v>
      </c>
      <c r="G826" s="360">
        <v>45064</v>
      </c>
      <c r="H826" s="360">
        <v>46606</v>
      </c>
    </row>
    <row r="827" spans="1:8" x14ac:dyDescent="0.2">
      <c r="A827" s="359" t="s">
        <v>1939</v>
      </c>
      <c r="B827" s="359"/>
      <c r="C827" s="359" t="s">
        <v>1940</v>
      </c>
      <c r="D827" s="360">
        <v>77314</v>
      </c>
      <c r="E827" s="360">
        <v>77314</v>
      </c>
      <c r="F827" s="360">
        <v>77334</v>
      </c>
      <c r="G827" s="360">
        <v>77417</v>
      </c>
      <c r="H827" s="360">
        <v>77371</v>
      </c>
    </row>
    <row r="828" spans="1:8" x14ac:dyDescent="0.2">
      <c r="A828" s="359" t="s">
        <v>1941</v>
      </c>
      <c r="B828" s="359"/>
      <c r="C828" s="359" t="s">
        <v>1942</v>
      </c>
      <c r="D828" s="360">
        <v>22134</v>
      </c>
      <c r="E828" s="360">
        <v>22134</v>
      </c>
      <c r="F828" s="360">
        <v>22173</v>
      </c>
      <c r="G828" s="360">
        <v>22057</v>
      </c>
      <c r="H828" s="360">
        <v>22058</v>
      </c>
    </row>
    <row r="829" spans="1:8" x14ac:dyDescent="0.2">
      <c r="A829" s="359" t="s">
        <v>1943</v>
      </c>
      <c r="B829" s="359"/>
      <c r="C829" s="359" t="s">
        <v>1944</v>
      </c>
      <c r="D829" s="360">
        <v>63463</v>
      </c>
      <c r="E829" s="360">
        <v>63463</v>
      </c>
      <c r="F829" s="360">
        <v>63666</v>
      </c>
      <c r="G829" s="360">
        <v>63391</v>
      </c>
      <c r="H829" s="360">
        <v>63406</v>
      </c>
    </row>
    <row r="830" spans="1:8" x14ac:dyDescent="0.2">
      <c r="A830" s="359" t="s">
        <v>1945</v>
      </c>
      <c r="B830" s="359"/>
      <c r="C830" s="359" t="s">
        <v>1946</v>
      </c>
      <c r="D830" s="360">
        <v>46183</v>
      </c>
      <c r="E830" s="360">
        <v>46183</v>
      </c>
      <c r="F830" s="360">
        <v>46189</v>
      </c>
      <c r="G830" s="360">
        <v>46243</v>
      </c>
      <c r="H830" s="360">
        <v>46336</v>
      </c>
    </row>
    <row r="831" spans="1:8" x14ac:dyDescent="0.2">
      <c r="A831" s="359" t="s">
        <v>1947</v>
      </c>
      <c r="B831" s="359"/>
      <c r="C831" s="359" t="s">
        <v>1948</v>
      </c>
      <c r="D831" s="360">
        <v>50778</v>
      </c>
      <c r="E831" s="360">
        <v>50778</v>
      </c>
      <c r="F831" s="360">
        <v>50830</v>
      </c>
      <c r="G831" s="360">
        <v>50954</v>
      </c>
      <c r="H831" s="360">
        <v>50413</v>
      </c>
    </row>
    <row r="832" spans="1:8" x14ac:dyDescent="0.2">
      <c r="A832" s="359" t="s">
        <v>1949</v>
      </c>
      <c r="B832" s="359"/>
      <c r="C832" s="359" t="s">
        <v>1950</v>
      </c>
      <c r="D832" s="360">
        <v>68917</v>
      </c>
      <c r="E832" s="360">
        <v>68917</v>
      </c>
      <c r="F832" s="360">
        <v>68869</v>
      </c>
      <c r="G832" s="360">
        <v>68693</v>
      </c>
      <c r="H832" s="360">
        <v>68346</v>
      </c>
    </row>
    <row r="833" spans="1:8" x14ac:dyDescent="0.2">
      <c r="A833" s="359" t="s">
        <v>1951</v>
      </c>
      <c r="B833" s="359"/>
      <c r="C833" s="359" t="s">
        <v>1952</v>
      </c>
      <c r="D833" s="360">
        <v>99972</v>
      </c>
      <c r="E833" s="360">
        <v>99972</v>
      </c>
      <c r="F833" s="360">
        <v>100199</v>
      </c>
      <c r="G833" s="360">
        <v>101219</v>
      </c>
      <c r="H833" s="360">
        <v>101792</v>
      </c>
    </row>
    <row r="834" spans="1:8" x14ac:dyDescent="0.2">
      <c r="A834" s="359" t="s">
        <v>1953</v>
      </c>
      <c r="B834" s="359"/>
      <c r="C834" s="359" t="s">
        <v>1954</v>
      </c>
      <c r="D834" s="360">
        <v>60968</v>
      </c>
      <c r="E834" s="360">
        <v>60968</v>
      </c>
      <c r="F834" s="360">
        <v>61149</v>
      </c>
      <c r="G834" s="360">
        <v>61498</v>
      </c>
      <c r="H834" s="360">
        <v>61615</v>
      </c>
    </row>
    <row r="835" spans="1:8" x14ac:dyDescent="0.2">
      <c r="A835" s="359" t="s">
        <v>1955</v>
      </c>
      <c r="B835" s="359"/>
      <c r="C835" s="359" t="s">
        <v>1956</v>
      </c>
      <c r="D835" s="360">
        <v>40123</v>
      </c>
      <c r="E835" s="360">
        <v>40123</v>
      </c>
      <c r="F835" s="360">
        <v>40238</v>
      </c>
      <c r="G835" s="360">
        <v>40575</v>
      </c>
      <c r="H835" s="360">
        <v>41110</v>
      </c>
    </row>
    <row r="836" spans="1:8" x14ac:dyDescent="0.2">
      <c r="A836" s="359" t="s">
        <v>1957</v>
      </c>
      <c r="B836" s="359"/>
      <c r="C836" s="359" t="s">
        <v>1958</v>
      </c>
      <c r="D836" s="360">
        <v>76790</v>
      </c>
      <c r="E836" s="360">
        <v>76789</v>
      </c>
      <c r="F836" s="360">
        <v>76553</v>
      </c>
      <c r="G836" s="360">
        <v>76313</v>
      </c>
      <c r="H836" s="360">
        <v>75434</v>
      </c>
    </row>
    <row r="837" spans="1:8" x14ac:dyDescent="0.2">
      <c r="A837" s="359" t="s">
        <v>1959</v>
      </c>
      <c r="B837" s="359"/>
      <c r="C837" s="359" t="s">
        <v>1960</v>
      </c>
      <c r="D837" s="360">
        <v>53497</v>
      </c>
      <c r="E837" s="360">
        <v>53497</v>
      </c>
      <c r="F837" s="360">
        <v>53456</v>
      </c>
      <c r="G837" s="360">
        <v>53163</v>
      </c>
      <c r="H837" s="360">
        <v>52848</v>
      </c>
    </row>
    <row r="838" spans="1:8" x14ac:dyDescent="0.2">
      <c r="A838" s="359" t="s">
        <v>1961</v>
      </c>
      <c r="B838" s="359"/>
      <c r="C838" s="359" t="s">
        <v>1962</v>
      </c>
      <c r="D838" s="360">
        <v>46639</v>
      </c>
      <c r="E838" s="360">
        <v>46639</v>
      </c>
      <c r="F838" s="360">
        <v>46656</v>
      </c>
      <c r="G838" s="360">
        <v>46683</v>
      </c>
      <c r="H838" s="360">
        <v>46627</v>
      </c>
    </row>
    <row r="839" spans="1:8" x14ac:dyDescent="0.2">
      <c r="A839" s="359" t="s">
        <v>1963</v>
      </c>
      <c r="B839" s="359"/>
      <c r="C839" s="359" t="s">
        <v>1964</v>
      </c>
      <c r="D839" s="360">
        <v>43806</v>
      </c>
      <c r="E839" s="360">
        <v>43806</v>
      </c>
      <c r="F839" s="360">
        <v>43614</v>
      </c>
      <c r="G839" s="360">
        <v>44078</v>
      </c>
      <c r="H839" s="360">
        <v>45267</v>
      </c>
    </row>
    <row r="840" spans="1:8" x14ac:dyDescent="0.2">
      <c r="A840" s="359" t="s">
        <v>1965</v>
      </c>
      <c r="B840" s="359"/>
      <c r="C840" s="359" t="s">
        <v>1966</v>
      </c>
      <c r="D840" s="360">
        <v>45156</v>
      </c>
      <c r="E840" s="360">
        <v>45156</v>
      </c>
      <c r="F840" s="360">
        <v>45291</v>
      </c>
      <c r="G840" s="360">
        <v>45107</v>
      </c>
      <c r="H840" s="360">
        <v>44987</v>
      </c>
    </row>
    <row r="841" spans="1:8" x14ac:dyDescent="0.2">
      <c r="A841" s="359" t="s">
        <v>1967</v>
      </c>
      <c r="B841" s="359"/>
      <c r="C841" s="359" t="s">
        <v>1968</v>
      </c>
      <c r="D841" s="360">
        <v>107667</v>
      </c>
      <c r="E841" s="360">
        <v>107667</v>
      </c>
      <c r="F841" s="360">
        <v>107696</v>
      </c>
      <c r="G841" s="360">
        <v>107400</v>
      </c>
      <c r="H841" s="360">
        <v>107164</v>
      </c>
    </row>
    <row r="842" spans="1:8" x14ac:dyDescent="0.2">
      <c r="A842" s="359" t="s">
        <v>1969</v>
      </c>
      <c r="B842" s="359"/>
      <c r="C842" s="359" t="s">
        <v>1970</v>
      </c>
      <c r="D842" s="360">
        <v>65645</v>
      </c>
      <c r="E842" s="360">
        <v>65645</v>
      </c>
      <c r="F842" s="360">
        <v>65770</v>
      </c>
      <c r="G842" s="360">
        <v>65673</v>
      </c>
      <c r="H842" s="360">
        <v>65784</v>
      </c>
    </row>
    <row r="843" spans="1:8" x14ac:dyDescent="0.2">
      <c r="A843" s="359" t="s">
        <v>1971</v>
      </c>
      <c r="B843" s="359"/>
      <c r="C843" s="359" t="s">
        <v>1972</v>
      </c>
      <c r="D843" s="360">
        <v>83939</v>
      </c>
      <c r="E843" s="360">
        <v>83939</v>
      </c>
      <c r="F843" s="360">
        <v>84279</v>
      </c>
      <c r="G843" s="360">
        <v>84545</v>
      </c>
      <c r="H843" s="360">
        <v>84697</v>
      </c>
    </row>
    <row r="844" spans="1:8" x14ac:dyDescent="0.2">
      <c r="A844" s="359" t="s">
        <v>1973</v>
      </c>
      <c r="B844" s="359"/>
      <c r="C844" s="359" t="s">
        <v>1974</v>
      </c>
      <c r="D844" s="360">
        <v>46735</v>
      </c>
      <c r="E844" s="360">
        <v>46735</v>
      </c>
      <c r="F844" s="360">
        <v>46803</v>
      </c>
      <c r="G844" s="360">
        <v>46965</v>
      </c>
      <c r="H844" s="360">
        <v>46953</v>
      </c>
    </row>
    <row r="845" spans="1:8" x14ac:dyDescent="0.2">
      <c r="A845" s="359" t="s">
        <v>1975</v>
      </c>
      <c r="B845" s="359"/>
      <c r="C845" s="359" t="s">
        <v>1976</v>
      </c>
      <c r="D845" s="360">
        <v>61642</v>
      </c>
      <c r="E845" s="360">
        <v>61642</v>
      </c>
      <c r="F845" s="360">
        <v>61560</v>
      </c>
      <c r="G845" s="360">
        <v>61250</v>
      </c>
      <c r="H845" s="360">
        <v>60869</v>
      </c>
    </row>
    <row r="846" spans="1:8" x14ac:dyDescent="0.2">
      <c r="A846" s="359" t="s">
        <v>1977</v>
      </c>
      <c r="B846" s="359"/>
      <c r="C846" s="359" t="s">
        <v>1978</v>
      </c>
      <c r="D846" s="360">
        <v>37220</v>
      </c>
      <c r="E846" s="360">
        <v>37220</v>
      </c>
      <c r="F846" s="360">
        <v>36847</v>
      </c>
      <c r="G846" s="360">
        <v>37150</v>
      </c>
      <c r="H846" s="360">
        <v>37416</v>
      </c>
    </row>
    <row r="847" spans="1:8" x14ac:dyDescent="0.2">
      <c r="A847" s="359" t="s">
        <v>1979</v>
      </c>
      <c r="B847" s="359"/>
      <c r="C847" s="359" t="s">
        <v>1980</v>
      </c>
      <c r="D847" s="360">
        <v>50513</v>
      </c>
      <c r="E847" s="360">
        <v>50513</v>
      </c>
      <c r="F847" s="360">
        <v>50698</v>
      </c>
      <c r="G847" s="360">
        <v>50339</v>
      </c>
      <c r="H847" s="360">
        <v>51402</v>
      </c>
    </row>
    <row r="848" spans="1:8" x14ac:dyDescent="0.2">
      <c r="A848" s="359" t="s">
        <v>1981</v>
      </c>
      <c r="B848" s="359"/>
      <c r="C848" s="359" t="s">
        <v>1982</v>
      </c>
      <c r="D848" s="360">
        <v>107841</v>
      </c>
      <c r="E848" s="360">
        <v>107841</v>
      </c>
      <c r="F848" s="360">
        <v>107820</v>
      </c>
      <c r="G848" s="360">
        <v>107244</v>
      </c>
      <c r="H848" s="360">
        <v>106507</v>
      </c>
    </row>
    <row r="849" spans="1:8" x14ac:dyDescent="0.2">
      <c r="A849" s="359" t="s">
        <v>1983</v>
      </c>
      <c r="B849" s="359"/>
      <c r="C849" s="359" t="s">
        <v>1984</v>
      </c>
      <c r="D849" s="360">
        <v>61697</v>
      </c>
      <c r="E849" s="360">
        <v>61697</v>
      </c>
      <c r="F849" s="360">
        <v>61828</v>
      </c>
      <c r="G849" s="360">
        <v>61843</v>
      </c>
      <c r="H849" s="360">
        <v>62060</v>
      </c>
    </row>
    <row r="850" spans="1:8" x14ac:dyDescent="0.2">
      <c r="A850" s="359" t="s">
        <v>1985</v>
      </c>
      <c r="B850" s="359"/>
      <c r="C850" s="359" t="s">
        <v>1986</v>
      </c>
      <c r="D850" s="360">
        <v>40877</v>
      </c>
      <c r="E850" s="360">
        <v>40877</v>
      </c>
      <c r="F850" s="360">
        <v>40940</v>
      </c>
      <c r="G850" s="360">
        <v>40837</v>
      </c>
      <c r="H850" s="360">
        <v>40476</v>
      </c>
    </row>
    <row r="851" spans="1:8" x14ac:dyDescent="0.2">
      <c r="A851" s="359" t="s">
        <v>1987</v>
      </c>
      <c r="B851" s="359"/>
      <c r="C851" s="359" t="s">
        <v>1988</v>
      </c>
      <c r="D851" s="360">
        <v>77079</v>
      </c>
      <c r="E851" s="360">
        <v>77079</v>
      </c>
      <c r="F851" s="360">
        <v>77042</v>
      </c>
      <c r="G851" s="360">
        <v>76661</v>
      </c>
      <c r="H851" s="360">
        <v>76398</v>
      </c>
    </row>
    <row r="852" spans="1:8" x14ac:dyDescent="0.2">
      <c r="A852" s="359" t="s">
        <v>1989</v>
      </c>
      <c r="B852" s="359"/>
      <c r="C852" s="359" t="s">
        <v>1990</v>
      </c>
      <c r="D852" s="360">
        <v>57866</v>
      </c>
      <c r="E852" s="360">
        <v>57866</v>
      </c>
      <c r="F852" s="360">
        <v>57877</v>
      </c>
      <c r="G852" s="360">
        <v>58605</v>
      </c>
      <c r="H852" s="360">
        <v>59715</v>
      </c>
    </row>
    <row r="853" spans="1:8" x14ac:dyDescent="0.2">
      <c r="A853" s="359" t="s">
        <v>1991</v>
      </c>
      <c r="B853" s="359"/>
      <c r="C853" s="359" t="s">
        <v>1992</v>
      </c>
      <c r="D853" s="360">
        <v>38520</v>
      </c>
      <c r="E853" s="360">
        <v>38520</v>
      </c>
      <c r="F853" s="360">
        <v>38482</v>
      </c>
      <c r="G853" s="360">
        <v>38776</v>
      </c>
      <c r="H853" s="360">
        <v>38917</v>
      </c>
    </row>
    <row r="854" spans="1:8" x14ac:dyDescent="0.2">
      <c r="A854" s="359" t="s">
        <v>1993</v>
      </c>
      <c r="B854" s="359"/>
      <c r="C854" s="359" t="s">
        <v>1994</v>
      </c>
      <c r="D854" s="360">
        <v>62622</v>
      </c>
      <c r="E854" s="360">
        <v>62622</v>
      </c>
      <c r="F854" s="360">
        <v>62609</v>
      </c>
      <c r="G854" s="360">
        <v>63001</v>
      </c>
      <c r="H854" s="360">
        <v>62792</v>
      </c>
    </row>
    <row r="855" spans="1:8" x14ac:dyDescent="0.2">
      <c r="A855" s="359" t="s">
        <v>1995</v>
      </c>
      <c r="B855" s="359"/>
      <c r="C855" s="359" t="s">
        <v>1996</v>
      </c>
      <c r="D855" s="360">
        <v>38971</v>
      </c>
      <c r="E855" s="360">
        <v>38971</v>
      </c>
      <c r="F855" s="360">
        <v>39077</v>
      </c>
      <c r="G855" s="360">
        <v>38994</v>
      </c>
      <c r="H855" s="360">
        <v>39039</v>
      </c>
    </row>
    <row r="856" spans="1:8" x14ac:dyDescent="0.2">
      <c r="A856" s="359" t="s">
        <v>1997</v>
      </c>
      <c r="B856" s="359"/>
      <c r="C856" s="359" t="s">
        <v>1998</v>
      </c>
      <c r="D856" s="360">
        <v>53227</v>
      </c>
      <c r="E856" s="360">
        <v>53226</v>
      </c>
      <c r="F856" s="360">
        <v>53158</v>
      </c>
      <c r="G856" s="360">
        <v>53230</v>
      </c>
      <c r="H856" s="360">
        <v>53019</v>
      </c>
    </row>
    <row r="857" spans="1:8" x14ac:dyDescent="0.2">
      <c r="A857" s="359" t="s">
        <v>1999</v>
      </c>
      <c r="B857" s="359"/>
      <c r="C857" s="359" t="s">
        <v>2000</v>
      </c>
      <c r="D857" s="360">
        <v>77076</v>
      </c>
      <c r="E857" s="360">
        <v>77076</v>
      </c>
      <c r="F857" s="360">
        <v>77319</v>
      </c>
      <c r="G857" s="360">
        <v>78089</v>
      </c>
      <c r="H857" s="360">
        <v>78493</v>
      </c>
    </row>
    <row r="858" spans="1:8" x14ac:dyDescent="0.2">
      <c r="A858" s="359" t="s">
        <v>2001</v>
      </c>
      <c r="B858" s="359"/>
      <c r="C858" s="359" t="s">
        <v>2002</v>
      </c>
      <c r="D858" s="360">
        <v>42201</v>
      </c>
      <c r="E858" s="360">
        <v>42201</v>
      </c>
      <c r="F858" s="360">
        <v>42280</v>
      </c>
      <c r="G858" s="360">
        <v>42148</v>
      </c>
      <c r="H858" s="360">
        <v>42319</v>
      </c>
    </row>
    <row r="859" spans="1:8" x14ac:dyDescent="0.2">
      <c r="A859" s="359" t="s">
        <v>2003</v>
      </c>
      <c r="B859" s="359"/>
      <c r="C859" s="359" t="s">
        <v>2004</v>
      </c>
      <c r="D859" s="360">
        <v>39702</v>
      </c>
      <c r="E859" s="360">
        <v>39702</v>
      </c>
      <c r="F859" s="360">
        <v>39741</v>
      </c>
      <c r="G859" s="360">
        <v>39658</v>
      </c>
      <c r="H859" s="360">
        <v>39672</v>
      </c>
    </row>
    <row r="860" spans="1:8" x14ac:dyDescent="0.2">
      <c r="A860" s="359" t="s">
        <v>2005</v>
      </c>
      <c r="B860" s="359"/>
      <c r="C860" s="359" t="s">
        <v>2006</v>
      </c>
      <c r="D860" s="360">
        <v>43820</v>
      </c>
      <c r="E860" s="360">
        <v>43820</v>
      </c>
      <c r="F860" s="360">
        <v>43782</v>
      </c>
      <c r="G860" s="360">
        <v>43189</v>
      </c>
      <c r="H860" s="360">
        <v>42864</v>
      </c>
    </row>
    <row r="861" spans="1:8" x14ac:dyDescent="0.2">
      <c r="A861" s="359" t="s">
        <v>2007</v>
      </c>
      <c r="B861" s="359"/>
      <c r="C861" s="359" t="s">
        <v>2008</v>
      </c>
      <c r="D861" s="360">
        <v>74273</v>
      </c>
      <c r="E861" s="360">
        <v>74275</v>
      </c>
      <c r="F861" s="360">
        <v>74371</v>
      </c>
      <c r="G861" s="360">
        <v>74276</v>
      </c>
      <c r="H861" s="360">
        <v>74627</v>
      </c>
    </row>
    <row r="862" spans="1:8" x14ac:dyDescent="0.2">
      <c r="A862" s="359" t="s">
        <v>2009</v>
      </c>
      <c r="B862" s="359"/>
      <c r="C862" s="359" t="s">
        <v>2010</v>
      </c>
      <c r="D862" s="360">
        <v>35251</v>
      </c>
      <c r="E862" s="360">
        <v>35248</v>
      </c>
      <c r="F862" s="360">
        <v>35219</v>
      </c>
      <c r="G862" s="360">
        <v>35349</v>
      </c>
      <c r="H862" s="360">
        <v>35305</v>
      </c>
    </row>
    <row r="863" spans="1:8" x14ac:dyDescent="0.2">
      <c r="A863" s="359" t="s">
        <v>2011</v>
      </c>
      <c r="B863" s="359"/>
      <c r="C863" s="359" t="s">
        <v>2012</v>
      </c>
      <c r="D863" s="360">
        <v>89889</v>
      </c>
      <c r="E863" s="360">
        <v>89887</v>
      </c>
      <c r="F863" s="360">
        <v>90146</v>
      </c>
      <c r="G863" s="360">
        <v>91355</v>
      </c>
      <c r="H863" s="360">
        <v>92512</v>
      </c>
    </row>
    <row r="864" spans="1:8" x14ac:dyDescent="0.2">
      <c r="A864" s="359" t="s">
        <v>2013</v>
      </c>
      <c r="B864" s="359"/>
      <c r="C864" s="359" t="s">
        <v>2014</v>
      </c>
      <c r="D864" s="360">
        <v>42376</v>
      </c>
      <c r="E864" s="360">
        <v>42376</v>
      </c>
      <c r="F864" s="360">
        <v>42555</v>
      </c>
      <c r="G864" s="360">
        <v>42930</v>
      </c>
      <c r="H864" s="360">
        <v>43083</v>
      </c>
    </row>
    <row r="865" spans="1:8" x14ac:dyDescent="0.2">
      <c r="A865" s="359" t="s">
        <v>2015</v>
      </c>
      <c r="B865" s="359"/>
      <c r="C865" s="359" t="s">
        <v>2016</v>
      </c>
      <c r="D865" s="360">
        <v>46181</v>
      </c>
      <c r="E865" s="360">
        <v>46181</v>
      </c>
      <c r="F865" s="360">
        <v>46196</v>
      </c>
      <c r="G865" s="360">
        <v>46129</v>
      </c>
      <c r="H865" s="360">
        <v>45947</v>
      </c>
    </row>
    <row r="866" spans="1:8" x14ac:dyDescent="0.2">
      <c r="A866" s="359" t="s">
        <v>2017</v>
      </c>
      <c r="B866" s="359"/>
      <c r="C866" s="359" t="s">
        <v>2018</v>
      </c>
      <c r="D866" s="360">
        <v>69442</v>
      </c>
      <c r="E866" s="360">
        <v>69442</v>
      </c>
      <c r="F866" s="360">
        <v>69649</v>
      </c>
      <c r="G866" s="360">
        <v>70217</v>
      </c>
      <c r="H866" s="360">
        <v>70760</v>
      </c>
    </row>
    <row r="867" spans="1:8" x14ac:dyDescent="0.2">
      <c r="A867" s="359" t="s">
        <v>2019</v>
      </c>
      <c r="B867" s="359"/>
      <c r="C867" s="359" t="s">
        <v>2020</v>
      </c>
      <c r="D867" s="360">
        <v>98078</v>
      </c>
      <c r="E867" s="360">
        <v>98078</v>
      </c>
      <c r="F867" s="360">
        <v>98030</v>
      </c>
      <c r="G867" s="360">
        <v>97581</v>
      </c>
      <c r="H867" s="360">
        <v>97474</v>
      </c>
    </row>
    <row r="868" spans="1:8" x14ac:dyDescent="0.2">
      <c r="A868" s="359" t="s">
        <v>2021</v>
      </c>
      <c r="B868" s="359"/>
      <c r="C868" s="359" t="s">
        <v>2022</v>
      </c>
      <c r="D868" s="360">
        <v>45058</v>
      </c>
      <c r="E868" s="360">
        <v>45058</v>
      </c>
      <c r="F868" s="360">
        <v>45129</v>
      </c>
      <c r="G868" s="360">
        <v>45360</v>
      </c>
      <c r="H868" s="360">
        <v>45573</v>
      </c>
    </row>
    <row r="869" spans="1:8" x14ac:dyDescent="0.2">
      <c r="A869" s="359" t="s">
        <v>2023</v>
      </c>
      <c r="B869" s="359"/>
      <c r="C869" s="359" t="s">
        <v>2024</v>
      </c>
      <c r="D869" s="360">
        <v>60699</v>
      </c>
      <c r="E869" s="360">
        <v>60699</v>
      </c>
      <c r="F869" s="360">
        <v>60787</v>
      </c>
      <c r="G869" s="360">
        <v>60988</v>
      </c>
      <c r="H869" s="360">
        <v>60832</v>
      </c>
    </row>
    <row r="870" spans="1:8" x14ac:dyDescent="0.2">
      <c r="A870" s="359" t="s">
        <v>2025</v>
      </c>
      <c r="B870" s="359"/>
      <c r="C870" s="359" t="s">
        <v>2026</v>
      </c>
      <c r="D870" s="360">
        <v>29116</v>
      </c>
      <c r="E870" s="360">
        <v>29116</v>
      </c>
      <c r="F870" s="360">
        <v>29147</v>
      </c>
      <c r="G870" s="360">
        <v>29260</v>
      </c>
      <c r="H870" s="360">
        <v>29596</v>
      </c>
    </row>
    <row r="871" spans="1:8" x14ac:dyDescent="0.2">
      <c r="A871" s="359" t="s">
        <v>2027</v>
      </c>
      <c r="B871" s="359"/>
      <c r="C871" s="359" t="s">
        <v>2028</v>
      </c>
      <c r="D871" s="360">
        <v>107449</v>
      </c>
      <c r="E871" s="360">
        <v>107449</v>
      </c>
      <c r="F871" s="360">
        <v>107608</v>
      </c>
      <c r="G871" s="360">
        <v>107174</v>
      </c>
      <c r="H871" s="360">
        <v>107094</v>
      </c>
    </row>
    <row r="872" spans="1:8" x14ac:dyDescent="0.2">
      <c r="A872" s="359" t="s">
        <v>2029</v>
      </c>
      <c r="B872" s="359"/>
      <c r="C872" s="359" t="s">
        <v>2030</v>
      </c>
      <c r="D872" s="360">
        <v>49423</v>
      </c>
      <c r="E872" s="360">
        <v>49423</v>
      </c>
      <c r="F872" s="360">
        <v>49345</v>
      </c>
      <c r="G872" s="360">
        <v>49291</v>
      </c>
      <c r="H872" s="360">
        <v>49167</v>
      </c>
    </row>
    <row r="873" spans="1:8" x14ac:dyDescent="0.2">
      <c r="A873" s="359" t="s">
        <v>2031</v>
      </c>
      <c r="B873" s="359"/>
      <c r="C873" s="359" t="s">
        <v>2032</v>
      </c>
      <c r="D873" s="360">
        <v>39191</v>
      </c>
      <c r="E873" s="360">
        <v>39187</v>
      </c>
      <c r="F873" s="360">
        <v>39228</v>
      </c>
      <c r="G873" s="360">
        <v>39115</v>
      </c>
      <c r="H873" s="360">
        <v>39139</v>
      </c>
    </row>
    <row r="874" spans="1:8" x14ac:dyDescent="0.2">
      <c r="A874" s="359" t="s">
        <v>2033</v>
      </c>
      <c r="B874" s="359"/>
      <c r="C874" s="359" t="s">
        <v>2034</v>
      </c>
      <c r="D874" s="360">
        <v>29514</v>
      </c>
      <c r="E874" s="360">
        <v>29514</v>
      </c>
      <c r="F874" s="360">
        <v>29407</v>
      </c>
      <c r="G874" s="360">
        <v>29430</v>
      </c>
      <c r="H874" s="360">
        <v>29388</v>
      </c>
    </row>
    <row r="875" spans="1:8" x14ac:dyDescent="0.2">
      <c r="A875" s="359" t="s">
        <v>2035</v>
      </c>
      <c r="B875" s="359"/>
      <c r="C875" s="359" t="s">
        <v>2036</v>
      </c>
      <c r="D875" s="360">
        <v>16921</v>
      </c>
      <c r="E875" s="360">
        <v>16921</v>
      </c>
      <c r="F875" s="360">
        <v>16957</v>
      </c>
      <c r="G875" s="360">
        <v>16907</v>
      </c>
      <c r="H875" s="360">
        <v>17126</v>
      </c>
    </row>
    <row r="876" spans="1:8" x14ac:dyDescent="0.2">
      <c r="A876" s="359" t="s">
        <v>2037</v>
      </c>
      <c r="B876" s="359"/>
      <c r="C876" s="359" t="s">
        <v>2038</v>
      </c>
      <c r="D876" s="360">
        <v>63063</v>
      </c>
      <c r="E876" s="360">
        <v>63063</v>
      </c>
      <c r="F876" s="360">
        <v>63192</v>
      </c>
      <c r="G876" s="360">
        <v>63461</v>
      </c>
      <c r="H876" s="360">
        <v>63593</v>
      </c>
    </row>
    <row r="877" spans="1:8" x14ac:dyDescent="0.2">
      <c r="A877" s="359" t="s">
        <v>2039</v>
      </c>
      <c r="B877" s="359"/>
      <c r="C877" s="359" t="s">
        <v>2040</v>
      </c>
      <c r="D877" s="360">
        <v>77742</v>
      </c>
      <c r="E877" s="360">
        <v>77748</v>
      </c>
      <c r="F877" s="360">
        <v>77706</v>
      </c>
      <c r="G877" s="360">
        <v>77382</v>
      </c>
      <c r="H877" s="360">
        <v>76957</v>
      </c>
    </row>
    <row r="878" spans="1:8" x14ac:dyDescent="0.2">
      <c r="A878" s="359" t="s">
        <v>2041</v>
      </c>
      <c r="B878" s="359"/>
      <c r="C878" s="359" t="s">
        <v>2042</v>
      </c>
      <c r="D878" s="360">
        <v>55365</v>
      </c>
      <c r="E878" s="360">
        <v>55365</v>
      </c>
      <c r="F878" s="360">
        <v>55162</v>
      </c>
      <c r="G878" s="360">
        <v>54692</v>
      </c>
      <c r="H878" s="360">
        <v>54008</v>
      </c>
    </row>
    <row r="879" spans="1:8" x14ac:dyDescent="0.2">
      <c r="A879" s="359" t="s">
        <v>2043</v>
      </c>
      <c r="B879" s="359"/>
      <c r="C879" s="359" t="s">
        <v>2044</v>
      </c>
      <c r="D879" s="360">
        <v>24097</v>
      </c>
      <c r="E879" s="360">
        <v>24097</v>
      </c>
      <c r="F879" s="360">
        <v>24173</v>
      </c>
      <c r="G879" s="360">
        <v>24306</v>
      </c>
      <c r="H879" s="360">
        <v>24397</v>
      </c>
    </row>
    <row r="880" spans="1:8" x14ac:dyDescent="0.2">
      <c r="A880" s="359" t="s">
        <v>2045</v>
      </c>
      <c r="B880" s="359"/>
      <c r="C880" s="359" t="s">
        <v>2046</v>
      </c>
      <c r="D880" s="360">
        <v>16667</v>
      </c>
      <c r="E880" s="360">
        <v>16667</v>
      </c>
      <c r="F880" s="360">
        <v>16632</v>
      </c>
      <c r="G880" s="360">
        <v>16611</v>
      </c>
      <c r="H880" s="360">
        <v>16599</v>
      </c>
    </row>
    <row r="881" spans="1:8" x14ac:dyDescent="0.2">
      <c r="A881" s="359" t="s">
        <v>2047</v>
      </c>
      <c r="B881" s="359"/>
      <c r="C881" s="359" t="s">
        <v>2048</v>
      </c>
      <c r="D881" s="360">
        <v>16667</v>
      </c>
      <c r="E881" s="360">
        <v>16667</v>
      </c>
      <c r="F881" s="360">
        <v>16665</v>
      </c>
      <c r="G881" s="360">
        <v>16899</v>
      </c>
      <c r="H881" s="360">
        <v>16972</v>
      </c>
    </row>
    <row r="882" spans="1:8" x14ac:dyDescent="0.2">
      <c r="A882" s="359" t="s">
        <v>2049</v>
      </c>
      <c r="B882" s="359"/>
      <c r="C882" s="359" t="s">
        <v>2050</v>
      </c>
      <c r="D882" s="360">
        <v>47671</v>
      </c>
      <c r="E882" s="360">
        <v>47671</v>
      </c>
      <c r="F882" s="360">
        <v>47653</v>
      </c>
      <c r="G882" s="360">
        <v>47713</v>
      </c>
      <c r="H882" s="360">
        <v>48192</v>
      </c>
    </row>
    <row r="883" spans="1:8" x14ac:dyDescent="0.2">
      <c r="A883" s="359" t="s">
        <v>2051</v>
      </c>
      <c r="B883" s="359"/>
      <c r="C883" s="359" t="s">
        <v>2052</v>
      </c>
      <c r="D883" s="360">
        <v>70217</v>
      </c>
      <c r="E883" s="360">
        <v>70217</v>
      </c>
      <c r="F883" s="360">
        <v>70635</v>
      </c>
      <c r="G883" s="360">
        <v>72783</v>
      </c>
      <c r="H883" s="360">
        <v>72694</v>
      </c>
    </row>
    <row r="884" spans="1:8" x14ac:dyDescent="0.2">
      <c r="A884" s="359" t="s">
        <v>2053</v>
      </c>
      <c r="B884" s="359"/>
      <c r="C884" s="359" t="s">
        <v>2054</v>
      </c>
      <c r="D884" s="360">
        <v>23509</v>
      </c>
      <c r="E884" s="360">
        <v>23509</v>
      </c>
      <c r="F884" s="360">
        <v>23476</v>
      </c>
      <c r="G884" s="360">
        <v>23293</v>
      </c>
      <c r="H884" s="360">
        <v>23334</v>
      </c>
    </row>
    <row r="885" spans="1:8" x14ac:dyDescent="0.2">
      <c r="A885" s="359" t="s">
        <v>2055</v>
      </c>
      <c r="B885" s="359"/>
      <c r="C885" s="359" t="s">
        <v>2056</v>
      </c>
      <c r="D885" s="360">
        <v>37890</v>
      </c>
      <c r="E885" s="360">
        <v>37890</v>
      </c>
      <c r="F885" s="360">
        <v>37907</v>
      </c>
      <c r="G885" s="360">
        <v>39000</v>
      </c>
      <c r="H885" s="360">
        <v>39321</v>
      </c>
    </row>
    <row r="886" spans="1:8" x14ac:dyDescent="0.2">
      <c r="A886" s="359" t="s">
        <v>2057</v>
      </c>
      <c r="B886" s="359"/>
      <c r="C886" s="359" t="s">
        <v>2058</v>
      </c>
      <c r="D886" s="360">
        <v>22709</v>
      </c>
      <c r="E886" s="360">
        <v>22709</v>
      </c>
      <c r="F886" s="360">
        <v>22773</v>
      </c>
      <c r="G886" s="360">
        <v>22720</v>
      </c>
      <c r="H886" s="360">
        <v>22631</v>
      </c>
    </row>
    <row r="887" spans="1:8" x14ac:dyDescent="0.2">
      <c r="A887" s="359" t="s">
        <v>2059</v>
      </c>
      <c r="B887" s="359"/>
      <c r="C887" s="359" t="s">
        <v>2060</v>
      </c>
      <c r="D887" s="360">
        <v>58498</v>
      </c>
      <c r="E887" s="360">
        <v>58498</v>
      </c>
      <c r="F887" s="360">
        <v>58465</v>
      </c>
      <c r="G887" s="360">
        <v>58240</v>
      </c>
      <c r="H887" s="360">
        <v>57846</v>
      </c>
    </row>
    <row r="888" spans="1:8" x14ac:dyDescent="0.2">
      <c r="A888" s="359" t="s">
        <v>2061</v>
      </c>
      <c r="B888" s="359"/>
      <c r="C888" s="359" t="s">
        <v>2062</v>
      </c>
      <c r="D888" s="360">
        <v>70019</v>
      </c>
      <c r="E888" s="360">
        <v>70019</v>
      </c>
      <c r="F888" s="360">
        <v>69992</v>
      </c>
      <c r="G888" s="360">
        <v>70194</v>
      </c>
      <c r="H888" s="360">
        <v>70433</v>
      </c>
    </row>
    <row r="889" spans="1:8" x14ac:dyDescent="0.2">
      <c r="A889" s="359" t="s">
        <v>2063</v>
      </c>
      <c r="B889" s="359"/>
      <c r="C889" s="359" t="s">
        <v>2064</v>
      </c>
      <c r="D889" s="360">
        <v>77350</v>
      </c>
      <c r="E889" s="360">
        <v>77350</v>
      </c>
      <c r="F889" s="360">
        <v>77446</v>
      </c>
      <c r="G889" s="360">
        <v>77919</v>
      </c>
      <c r="H889" s="360">
        <v>78399</v>
      </c>
    </row>
    <row r="890" spans="1:8" x14ac:dyDescent="0.2">
      <c r="A890" s="359" t="s">
        <v>2065</v>
      </c>
      <c r="B890" s="359"/>
      <c r="C890" s="359" t="s">
        <v>2066</v>
      </c>
      <c r="D890" s="360">
        <v>20260</v>
      </c>
      <c r="E890" s="360">
        <v>20260</v>
      </c>
      <c r="F890" s="360">
        <v>20331</v>
      </c>
      <c r="G890" s="360">
        <v>20294</v>
      </c>
      <c r="H890" s="360">
        <v>20592</v>
      </c>
    </row>
    <row r="891" spans="1:8" x14ac:dyDescent="0.2">
      <c r="A891" s="359" t="s">
        <v>2067</v>
      </c>
      <c r="B891" s="359"/>
      <c r="C891" s="359" t="s">
        <v>2068</v>
      </c>
      <c r="D891" s="360">
        <v>61295</v>
      </c>
      <c r="E891" s="360">
        <v>61295</v>
      </c>
      <c r="F891" s="360">
        <v>61259</v>
      </c>
      <c r="G891" s="360">
        <v>61016</v>
      </c>
      <c r="H891" s="360">
        <v>60796</v>
      </c>
    </row>
    <row r="892" spans="1:8" x14ac:dyDescent="0.2">
      <c r="A892" s="359" t="s">
        <v>2069</v>
      </c>
      <c r="B892" s="359"/>
      <c r="C892" s="359" t="s">
        <v>2070</v>
      </c>
      <c r="D892" s="360">
        <v>35161</v>
      </c>
      <c r="E892" s="360">
        <v>35161</v>
      </c>
      <c r="F892" s="360">
        <v>35221</v>
      </c>
      <c r="G892" s="360">
        <v>35358</v>
      </c>
      <c r="H892" s="360">
        <v>35469</v>
      </c>
    </row>
    <row r="893" spans="1:8" x14ac:dyDescent="0.2">
      <c r="A893" s="359" t="s">
        <v>2071</v>
      </c>
      <c r="B893" s="359"/>
      <c r="C893" s="359" t="s">
        <v>2072</v>
      </c>
      <c r="D893" s="360">
        <v>26015</v>
      </c>
      <c r="E893" s="360">
        <v>26015</v>
      </c>
      <c r="F893" s="360">
        <v>26004</v>
      </c>
      <c r="G893" s="360">
        <v>25757</v>
      </c>
      <c r="H893" s="360">
        <v>25725</v>
      </c>
    </row>
    <row r="894" spans="1:8" x14ac:dyDescent="0.2">
      <c r="A894" s="359" t="s">
        <v>2073</v>
      </c>
      <c r="B894" s="359"/>
      <c r="C894" s="359" t="s">
        <v>2074</v>
      </c>
      <c r="D894" s="360">
        <v>36324</v>
      </c>
      <c r="E894" s="360">
        <v>36324</v>
      </c>
      <c r="F894" s="360">
        <v>36494</v>
      </c>
      <c r="G894" s="360">
        <v>37425</v>
      </c>
      <c r="H894" s="360">
        <v>38003</v>
      </c>
    </row>
    <row r="895" spans="1:8" x14ac:dyDescent="0.2">
      <c r="A895" s="359" t="s">
        <v>2075</v>
      </c>
      <c r="B895" s="359"/>
      <c r="C895" s="359" t="s">
        <v>2076</v>
      </c>
      <c r="D895" s="360">
        <v>94528</v>
      </c>
      <c r="E895" s="360">
        <v>94517</v>
      </c>
      <c r="F895" s="360">
        <v>94367</v>
      </c>
      <c r="G895" s="360">
        <v>94487</v>
      </c>
      <c r="H895" s="360">
        <v>94428</v>
      </c>
    </row>
    <row r="896" spans="1:8" x14ac:dyDescent="0.2">
      <c r="A896" s="359" t="s">
        <v>2077</v>
      </c>
      <c r="B896" s="359"/>
      <c r="C896" s="359" t="s">
        <v>2078</v>
      </c>
      <c r="D896" s="360">
        <v>34895</v>
      </c>
      <c r="E896" s="360">
        <v>34895</v>
      </c>
      <c r="F896" s="360">
        <v>34820</v>
      </c>
      <c r="G896" s="360">
        <v>34280</v>
      </c>
      <c r="H896" s="360">
        <v>33658</v>
      </c>
    </row>
    <row r="897" spans="1:8" x14ac:dyDescent="0.2">
      <c r="A897" s="359" t="s">
        <v>2079</v>
      </c>
      <c r="B897" s="359"/>
      <c r="C897" s="359" t="s">
        <v>2080</v>
      </c>
      <c r="D897" s="360">
        <v>15216</v>
      </c>
      <c r="E897" s="360">
        <v>15217</v>
      </c>
      <c r="F897" s="360">
        <v>15232</v>
      </c>
      <c r="G897" s="360">
        <v>15145</v>
      </c>
      <c r="H897" s="360">
        <v>14924</v>
      </c>
    </row>
    <row r="898" spans="1:8" x14ac:dyDescent="0.2">
      <c r="A898" s="359" t="s">
        <v>2081</v>
      </c>
      <c r="B898" s="359"/>
      <c r="C898" s="359" t="s">
        <v>2082</v>
      </c>
      <c r="D898" s="360">
        <v>46987</v>
      </c>
      <c r="E898" s="360">
        <v>46986</v>
      </c>
      <c r="F898" s="360">
        <v>47164</v>
      </c>
      <c r="G898" s="360">
        <v>47804</v>
      </c>
      <c r="H898" s="360">
        <v>48150</v>
      </c>
    </row>
    <row r="899" spans="1:8" x14ac:dyDescent="0.2">
      <c r="A899" s="359" t="s">
        <v>2083</v>
      </c>
      <c r="B899" s="359"/>
      <c r="C899" s="359" t="s">
        <v>2084</v>
      </c>
      <c r="D899" s="360">
        <v>93830</v>
      </c>
      <c r="E899" s="360">
        <v>93835</v>
      </c>
      <c r="F899" s="360">
        <v>93572</v>
      </c>
      <c r="G899" s="360">
        <v>92883</v>
      </c>
      <c r="H899" s="360">
        <v>92728</v>
      </c>
    </row>
    <row r="900" spans="1:8" x14ac:dyDescent="0.2">
      <c r="A900" s="359" t="s">
        <v>2085</v>
      </c>
      <c r="B900" s="359"/>
      <c r="C900" s="359" t="s">
        <v>2086</v>
      </c>
      <c r="D900" s="360">
        <v>32937</v>
      </c>
      <c r="E900" s="360">
        <v>32937</v>
      </c>
      <c r="F900" s="360">
        <v>32909</v>
      </c>
      <c r="G900" s="360">
        <v>32927</v>
      </c>
      <c r="H900" s="360">
        <v>32779</v>
      </c>
    </row>
    <row r="901" spans="1:8" x14ac:dyDescent="0.2">
      <c r="A901" s="359" t="s">
        <v>2087</v>
      </c>
      <c r="B901" s="359"/>
      <c r="C901" s="359" t="s">
        <v>2088</v>
      </c>
      <c r="D901" s="360">
        <v>34800</v>
      </c>
      <c r="E901" s="360">
        <v>34800</v>
      </c>
      <c r="F901" s="360">
        <v>34795</v>
      </c>
      <c r="G901" s="360">
        <v>34810</v>
      </c>
      <c r="H901" s="360">
        <v>34638</v>
      </c>
    </row>
    <row r="902" spans="1:8" x14ac:dyDescent="0.2">
      <c r="A902" s="359" t="s">
        <v>2089</v>
      </c>
      <c r="B902" s="359"/>
      <c r="C902" s="359" t="s">
        <v>2090</v>
      </c>
      <c r="D902" s="360">
        <v>25213</v>
      </c>
      <c r="E902" s="360">
        <v>25213</v>
      </c>
      <c r="F902" s="360">
        <v>25254</v>
      </c>
      <c r="G902" s="360">
        <v>25228</v>
      </c>
      <c r="H902" s="360">
        <v>25487</v>
      </c>
    </row>
    <row r="903" spans="1:8" x14ac:dyDescent="0.2">
      <c r="A903" s="359" t="s">
        <v>2091</v>
      </c>
      <c r="B903" s="359"/>
      <c r="C903" s="359" t="s">
        <v>2092</v>
      </c>
      <c r="D903" s="360">
        <v>27153</v>
      </c>
      <c r="E903" s="360">
        <v>27153</v>
      </c>
      <c r="F903" s="360">
        <v>27047</v>
      </c>
      <c r="G903" s="360">
        <v>26947</v>
      </c>
      <c r="H903" s="360">
        <v>26630</v>
      </c>
    </row>
    <row r="904" spans="1:8" x14ac:dyDescent="0.2">
      <c r="A904" s="359" t="s">
        <v>2093</v>
      </c>
      <c r="B904" s="359"/>
      <c r="C904" s="359" t="s">
        <v>2094</v>
      </c>
      <c r="D904" s="360">
        <v>44720</v>
      </c>
      <c r="E904" s="360">
        <v>44719</v>
      </c>
      <c r="F904" s="360">
        <v>44810</v>
      </c>
      <c r="G904" s="360">
        <v>44724</v>
      </c>
      <c r="H904" s="360">
        <v>44724</v>
      </c>
    </row>
    <row r="905" spans="1:8" x14ac:dyDescent="0.2">
      <c r="A905" s="359" t="s">
        <v>2095</v>
      </c>
      <c r="B905" s="359"/>
      <c r="C905" s="359" t="s">
        <v>2096</v>
      </c>
      <c r="D905" s="360">
        <v>56745</v>
      </c>
      <c r="E905" s="360">
        <v>56745</v>
      </c>
      <c r="F905" s="360">
        <v>56632</v>
      </c>
      <c r="G905" s="360">
        <v>56403</v>
      </c>
      <c r="H905" s="360">
        <v>56018</v>
      </c>
    </row>
    <row r="906" spans="1:8" x14ac:dyDescent="0.2">
      <c r="A906" s="359" t="s">
        <v>2097</v>
      </c>
      <c r="B906" s="359"/>
      <c r="C906" s="359" t="s">
        <v>2098</v>
      </c>
      <c r="D906" s="360">
        <v>40118</v>
      </c>
      <c r="E906" s="360">
        <v>40122</v>
      </c>
      <c r="F906" s="360">
        <v>40210</v>
      </c>
      <c r="G906" s="360">
        <v>41320</v>
      </c>
      <c r="H906" s="360">
        <v>41064</v>
      </c>
    </row>
    <row r="907" spans="1:8" x14ac:dyDescent="0.2">
      <c r="A907" s="359" t="s">
        <v>2099</v>
      </c>
      <c r="B907" s="359"/>
      <c r="C907" s="359" t="s">
        <v>2100</v>
      </c>
      <c r="D907" s="360">
        <v>26175</v>
      </c>
      <c r="E907" s="360">
        <v>26175</v>
      </c>
      <c r="F907" s="360">
        <v>26191</v>
      </c>
      <c r="G907" s="360">
        <v>25858</v>
      </c>
      <c r="H907" s="360">
        <v>25891</v>
      </c>
    </row>
    <row r="908" spans="1:8" x14ac:dyDescent="0.2">
      <c r="A908" s="359" t="s">
        <v>2101</v>
      </c>
      <c r="B908" s="359"/>
      <c r="C908" s="359" t="s">
        <v>2102</v>
      </c>
      <c r="D908" s="360">
        <v>189927</v>
      </c>
      <c r="E908" s="360">
        <v>189927</v>
      </c>
      <c r="F908" s="360">
        <v>189741</v>
      </c>
      <c r="G908" s="360">
        <v>188923</v>
      </c>
      <c r="H908" s="360">
        <v>187530</v>
      </c>
    </row>
    <row r="909" spans="1:8" x14ac:dyDescent="0.2">
      <c r="A909" s="359" t="s">
        <v>2103</v>
      </c>
      <c r="B909" s="359"/>
      <c r="C909" s="359" t="s">
        <v>2104</v>
      </c>
      <c r="D909" s="360">
        <v>143372</v>
      </c>
      <c r="E909" s="360">
        <v>143372</v>
      </c>
      <c r="F909" s="360">
        <v>143361</v>
      </c>
      <c r="G909" s="360">
        <v>144585</v>
      </c>
      <c r="H909" s="360">
        <v>145283</v>
      </c>
    </row>
    <row r="910" spans="1:8" x14ac:dyDescent="0.2">
      <c r="A910" s="359" t="s">
        <v>2105</v>
      </c>
      <c r="B910" s="359"/>
      <c r="C910" s="359" t="s">
        <v>2106</v>
      </c>
      <c r="D910" s="360">
        <v>32899</v>
      </c>
      <c r="E910" s="360">
        <v>32899</v>
      </c>
      <c r="F910" s="360">
        <v>32964</v>
      </c>
      <c r="G910" s="360">
        <v>32893</v>
      </c>
      <c r="H910" s="360">
        <v>33182</v>
      </c>
    </row>
    <row r="911" spans="1:8" x14ac:dyDescent="0.2">
      <c r="A911" s="359" t="s">
        <v>2107</v>
      </c>
      <c r="B911" s="359"/>
      <c r="C911" s="359" t="s">
        <v>2108</v>
      </c>
      <c r="D911" s="360">
        <v>98764</v>
      </c>
      <c r="E911" s="360">
        <v>98764</v>
      </c>
      <c r="F911" s="360">
        <v>98787</v>
      </c>
      <c r="G911" s="360">
        <v>98737</v>
      </c>
      <c r="H911" s="360">
        <v>98292</v>
      </c>
    </row>
    <row r="912" spans="1:8" x14ac:dyDescent="0.2">
      <c r="A912" s="359" t="s">
        <v>2109</v>
      </c>
      <c r="B912" s="359"/>
      <c r="C912" s="359" t="s">
        <v>2110</v>
      </c>
      <c r="D912" s="360">
        <v>100210</v>
      </c>
      <c r="E912" s="360">
        <v>100210</v>
      </c>
      <c r="F912" s="360">
        <v>100144</v>
      </c>
      <c r="G912" s="360">
        <v>100251</v>
      </c>
      <c r="H912" s="360">
        <v>100333</v>
      </c>
    </row>
    <row r="913" spans="1:8" x14ac:dyDescent="0.2">
      <c r="A913" s="359" t="s">
        <v>2111</v>
      </c>
      <c r="B913" s="359"/>
      <c r="C913" s="359" t="s">
        <v>2112</v>
      </c>
      <c r="D913" s="360">
        <v>136268</v>
      </c>
      <c r="E913" s="360">
        <v>136268</v>
      </c>
      <c r="F913" s="360">
        <v>136397</v>
      </c>
      <c r="G913" s="360">
        <v>137498</v>
      </c>
      <c r="H913" s="360">
        <v>138976</v>
      </c>
    </row>
    <row r="914" spans="1:8" x14ac:dyDescent="0.2">
      <c r="A914" s="359" t="s">
        <v>2113</v>
      </c>
      <c r="B914" s="359"/>
      <c r="C914" s="359" t="s">
        <v>2114</v>
      </c>
      <c r="D914" s="360">
        <v>99604</v>
      </c>
      <c r="E914" s="360">
        <v>99604</v>
      </c>
      <c r="F914" s="360">
        <v>99977</v>
      </c>
      <c r="G914" s="360">
        <v>100570</v>
      </c>
      <c r="H914" s="360">
        <v>101094</v>
      </c>
    </row>
    <row r="915" spans="1:8" x14ac:dyDescent="0.2">
      <c r="A915" s="359" t="s">
        <v>2115</v>
      </c>
      <c r="B915" s="359"/>
      <c r="C915" s="359" t="s">
        <v>2116</v>
      </c>
      <c r="D915" s="360">
        <v>87841</v>
      </c>
      <c r="E915" s="360">
        <v>87841</v>
      </c>
      <c r="F915" s="360">
        <v>87776</v>
      </c>
      <c r="G915" s="360">
        <v>87489</v>
      </c>
      <c r="H915" s="360">
        <v>87428</v>
      </c>
    </row>
    <row r="916" spans="1:8" x14ac:dyDescent="0.2">
      <c r="A916" s="359" t="s">
        <v>2117</v>
      </c>
      <c r="B916" s="359"/>
      <c r="C916" s="359" t="s">
        <v>2118</v>
      </c>
      <c r="D916" s="360">
        <v>38620</v>
      </c>
      <c r="E916" s="360">
        <v>38620</v>
      </c>
      <c r="F916" s="360">
        <v>38621</v>
      </c>
      <c r="G916" s="360">
        <v>38410</v>
      </c>
      <c r="H916" s="360">
        <v>37865</v>
      </c>
    </row>
    <row r="917" spans="1:8" x14ac:dyDescent="0.2">
      <c r="A917" s="359" t="s">
        <v>2119</v>
      </c>
      <c r="B917" s="359"/>
      <c r="C917" s="359" t="s">
        <v>2120</v>
      </c>
      <c r="D917" s="360">
        <v>40097</v>
      </c>
      <c r="E917" s="360">
        <v>40097</v>
      </c>
      <c r="F917" s="360">
        <v>40003</v>
      </c>
      <c r="G917" s="360">
        <v>39813</v>
      </c>
      <c r="H917" s="360">
        <v>39565</v>
      </c>
    </row>
    <row r="918" spans="1:8" x14ac:dyDescent="0.2">
      <c r="A918" s="359" t="s">
        <v>2121</v>
      </c>
      <c r="B918" s="359"/>
      <c r="C918" s="359" t="s">
        <v>2122</v>
      </c>
      <c r="D918" s="360">
        <v>26405</v>
      </c>
      <c r="E918" s="360">
        <v>26405</v>
      </c>
      <c r="F918" s="360">
        <v>26449</v>
      </c>
      <c r="G918" s="360">
        <v>26540</v>
      </c>
      <c r="H918" s="360">
        <v>26752</v>
      </c>
    </row>
    <row r="919" spans="1:8" x14ac:dyDescent="0.2">
      <c r="A919" s="359" t="s">
        <v>2123</v>
      </c>
      <c r="B919" s="359"/>
      <c r="C919" s="359" t="s">
        <v>2124</v>
      </c>
      <c r="D919" s="360">
        <v>34215</v>
      </c>
      <c r="E919" s="360">
        <v>34215</v>
      </c>
      <c r="F919" s="360">
        <v>34125</v>
      </c>
      <c r="G919" s="360">
        <v>34005</v>
      </c>
      <c r="H919" s="360">
        <v>34064</v>
      </c>
    </row>
    <row r="920" spans="1:8" x14ac:dyDescent="0.2">
      <c r="A920" s="359" t="s">
        <v>2125</v>
      </c>
      <c r="B920" s="359"/>
      <c r="C920" s="359" t="s">
        <v>2126</v>
      </c>
      <c r="D920" s="360">
        <v>28744</v>
      </c>
      <c r="E920" s="360">
        <v>28744</v>
      </c>
      <c r="F920" s="360">
        <v>28671</v>
      </c>
      <c r="G920" s="360">
        <v>28702</v>
      </c>
      <c r="H920" s="360">
        <v>28744</v>
      </c>
    </row>
    <row r="921" spans="1:8" x14ac:dyDescent="0.2">
      <c r="A921" s="359" t="s">
        <v>2127</v>
      </c>
      <c r="B921" s="359"/>
      <c r="C921" s="359" t="s">
        <v>2128</v>
      </c>
      <c r="D921" s="360">
        <v>13864</v>
      </c>
      <c r="E921" s="360">
        <v>13864</v>
      </c>
      <c r="F921" s="360">
        <v>13850</v>
      </c>
      <c r="G921" s="360">
        <v>14044</v>
      </c>
      <c r="H921" s="360">
        <v>14131</v>
      </c>
    </row>
    <row r="922" spans="1:8" x14ac:dyDescent="0.2">
      <c r="A922" s="359" t="s">
        <v>2129</v>
      </c>
      <c r="B922" s="359"/>
      <c r="C922" s="359" t="s">
        <v>2130</v>
      </c>
      <c r="D922" s="360">
        <v>32588</v>
      </c>
      <c r="E922" s="360">
        <v>32586</v>
      </c>
      <c r="F922" s="360">
        <v>32413</v>
      </c>
      <c r="G922" s="360">
        <v>33170</v>
      </c>
      <c r="H922" s="360">
        <v>34524</v>
      </c>
    </row>
    <row r="923" spans="1:8" x14ac:dyDescent="0.2">
      <c r="A923" s="359" t="s">
        <v>2131</v>
      </c>
      <c r="B923" s="359"/>
      <c r="C923" s="359" t="s">
        <v>2132</v>
      </c>
      <c r="D923" s="360">
        <v>13535</v>
      </c>
      <c r="E923" s="360">
        <v>13535</v>
      </c>
      <c r="F923" s="360">
        <v>13496</v>
      </c>
      <c r="G923" s="360">
        <v>13422</v>
      </c>
      <c r="H923" s="360">
        <v>13258</v>
      </c>
    </row>
    <row r="924" spans="1:8" x14ac:dyDescent="0.2">
      <c r="A924" s="359" t="s">
        <v>2133</v>
      </c>
      <c r="B924" s="359"/>
      <c r="C924" s="359" t="s">
        <v>2134</v>
      </c>
      <c r="D924" s="360">
        <v>58377</v>
      </c>
      <c r="E924" s="360">
        <v>58371</v>
      </c>
      <c r="F924" s="360">
        <v>58332</v>
      </c>
      <c r="G924" s="360">
        <v>57966</v>
      </c>
      <c r="H924" s="360">
        <v>57433</v>
      </c>
    </row>
    <row r="925" spans="1:8" x14ac:dyDescent="0.2">
      <c r="A925" s="359" t="s">
        <v>2135</v>
      </c>
      <c r="B925" s="359"/>
      <c r="C925" s="359" t="s">
        <v>2136</v>
      </c>
      <c r="D925" s="360">
        <v>36346</v>
      </c>
      <c r="E925" s="360">
        <v>36346</v>
      </c>
      <c r="F925" s="360">
        <v>36404</v>
      </c>
      <c r="G925" s="360">
        <v>36328</v>
      </c>
      <c r="H925" s="360">
        <v>36228</v>
      </c>
    </row>
    <row r="926" spans="1:8" x14ac:dyDescent="0.2">
      <c r="A926" s="359" t="s">
        <v>2137</v>
      </c>
      <c r="B926" s="359"/>
      <c r="C926" s="359" t="s">
        <v>2138</v>
      </c>
      <c r="D926" s="360">
        <v>38440</v>
      </c>
      <c r="E926" s="360">
        <v>38440</v>
      </c>
      <c r="F926" s="360">
        <v>38393</v>
      </c>
      <c r="G926" s="360">
        <v>38450</v>
      </c>
      <c r="H926" s="360">
        <v>38122</v>
      </c>
    </row>
    <row r="927" spans="1:8" x14ac:dyDescent="0.2">
      <c r="A927" s="359" t="s">
        <v>2139</v>
      </c>
      <c r="B927" s="359"/>
      <c r="C927" s="359" t="s">
        <v>2140</v>
      </c>
      <c r="D927" s="360">
        <v>16535</v>
      </c>
      <c r="E927" s="360">
        <v>16535</v>
      </c>
      <c r="F927" s="360">
        <v>16574</v>
      </c>
      <c r="G927" s="360">
        <v>16787</v>
      </c>
      <c r="H927" s="360">
        <v>17041</v>
      </c>
    </row>
    <row r="928" spans="1:8" x14ac:dyDescent="0.2">
      <c r="A928" s="359" t="s">
        <v>2141</v>
      </c>
      <c r="B928" s="359"/>
      <c r="C928" s="359" t="s">
        <v>2142</v>
      </c>
      <c r="D928" s="360">
        <v>32888</v>
      </c>
      <c r="E928" s="360">
        <v>32888</v>
      </c>
      <c r="F928" s="360">
        <v>32829</v>
      </c>
      <c r="G928" s="360">
        <v>32554</v>
      </c>
      <c r="H928" s="360">
        <v>32361</v>
      </c>
    </row>
    <row r="929" spans="1:8" x14ac:dyDescent="0.2">
      <c r="A929" s="359" t="s">
        <v>2143</v>
      </c>
      <c r="B929" s="359"/>
      <c r="C929" s="359" t="s">
        <v>2144</v>
      </c>
      <c r="D929" s="360">
        <v>22897</v>
      </c>
      <c r="E929" s="360">
        <v>22897</v>
      </c>
      <c r="F929" s="360">
        <v>22902</v>
      </c>
      <c r="G929" s="360">
        <v>22839</v>
      </c>
      <c r="H929" s="360">
        <v>22802</v>
      </c>
    </row>
    <row r="930" spans="1:8" x14ac:dyDescent="0.2">
      <c r="A930" s="359" t="s">
        <v>2145</v>
      </c>
      <c r="B930" s="359"/>
      <c r="C930" s="359" t="s">
        <v>2146</v>
      </c>
      <c r="D930" s="360">
        <v>45949</v>
      </c>
      <c r="E930" s="360">
        <v>45949</v>
      </c>
      <c r="F930" s="360">
        <v>45921</v>
      </c>
      <c r="G930" s="360">
        <v>45757</v>
      </c>
      <c r="H930" s="360">
        <v>45831</v>
      </c>
    </row>
    <row r="931" spans="1:8" x14ac:dyDescent="0.2">
      <c r="A931" s="359" t="s">
        <v>2147</v>
      </c>
      <c r="B931" s="359"/>
      <c r="C931" s="359" t="s">
        <v>2148</v>
      </c>
      <c r="D931" s="360">
        <v>41815</v>
      </c>
      <c r="E931" s="360">
        <v>41815</v>
      </c>
      <c r="F931" s="360">
        <v>41756</v>
      </c>
      <c r="G931" s="360">
        <v>41480</v>
      </c>
      <c r="H931" s="360">
        <v>41146</v>
      </c>
    </row>
    <row r="932" spans="1:8" x14ac:dyDescent="0.2">
      <c r="A932" s="359" t="s">
        <v>2149</v>
      </c>
      <c r="B932" s="359"/>
      <c r="C932" s="359" t="s">
        <v>2150</v>
      </c>
      <c r="D932" s="360">
        <v>52595</v>
      </c>
      <c r="E932" s="360">
        <v>52595</v>
      </c>
      <c r="F932" s="360">
        <v>52701</v>
      </c>
      <c r="G932" s="360">
        <v>53482</v>
      </c>
      <c r="H932" s="360">
        <v>54397</v>
      </c>
    </row>
    <row r="933" spans="1:8" x14ac:dyDescent="0.2">
      <c r="A933" s="359" t="s">
        <v>2151</v>
      </c>
      <c r="B933" s="359"/>
      <c r="C933" s="359" t="s">
        <v>2152</v>
      </c>
      <c r="D933" s="360">
        <v>77358</v>
      </c>
      <c r="E933" s="360">
        <v>77356</v>
      </c>
      <c r="F933" s="360">
        <v>77323</v>
      </c>
      <c r="G933" s="360">
        <v>77356</v>
      </c>
      <c r="H933" s="360">
        <v>77609</v>
      </c>
    </row>
    <row r="934" spans="1:8" x14ac:dyDescent="0.2">
      <c r="A934" s="359" t="s">
        <v>2153</v>
      </c>
      <c r="B934" s="359"/>
      <c r="C934" s="359" t="s">
        <v>2154</v>
      </c>
      <c r="D934" s="360">
        <v>31648</v>
      </c>
      <c r="E934" s="360">
        <v>31654</v>
      </c>
      <c r="F934" s="360">
        <v>31726</v>
      </c>
      <c r="G934" s="360">
        <v>31896</v>
      </c>
      <c r="H934" s="360">
        <v>32064</v>
      </c>
    </row>
    <row r="935" spans="1:8" x14ac:dyDescent="0.2">
      <c r="A935" s="359" t="s">
        <v>2155</v>
      </c>
      <c r="B935" s="359"/>
      <c r="C935" s="359" t="s">
        <v>2156</v>
      </c>
      <c r="D935" s="360">
        <v>47759</v>
      </c>
      <c r="E935" s="360">
        <v>47770</v>
      </c>
      <c r="F935" s="360">
        <v>47766</v>
      </c>
      <c r="G935" s="360">
        <v>47655</v>
      </c>
      <c r="H935" s="360">
        <v>47507</v>
      </c>
    </row>
    <row r="936" spans="1:8" x14ac:dyDescent="0.2">
      <c r="A936" s="359" t="s">
        <v>2157</v>
      </c>
      <c r="B936" s="359"/>
      <c r="C936" s="359" t="s">
        <v>2158</v>
      </c>
      <c r="D936" s="360">
        <v>29030</v>
      </c>
      <c r="E936" s="360">
        <v>29030</v>
      </c>
      <c r="F936" s="360">
        <v>29030</v>
      </c>
      <c r="G936" s="360">
        <v>28921</v>
      </c>
      <c r="H936" s="360">
        <v>28880</v>
      </c>
    </row>
    <row r="937" spans="1:8" x14ac:dyDescent="0.2">
      <c r="A937" s="359" t="s">
        <v>2159</v>
      </c>
      <c r="B937" s="359"/>
      <c r="C937" s="359" t="s">
        <v>2160</v>
      </c>
      <c r="D937" s="360">
        <v>27227</v>
      </c>
      <c r="E937" s="360">
        <v>27227</v>
      </c>
      <c r="F937" s="360">
        <v>27223</v>
      </c>
      <c r="G937" s="360">
        <v>27413</v>
      </c>
      <c r="H937" s="360">
        <v>27606</v>
      </c>
    </row>
    <row r="938" spans="1:8" x14ac:dyDescent="0.2">
      <c r="A938" s="359" t="s">
        <v>2161</v>
      </c>
      <c r="B938" s="359"/>
      <c r="C938" s="359" t="s">
        <v>2162</v>
      </c>
      <c r="D938" s="360">
        <v>83686</v>
      </c>
      <c r="E938" s="360">
        <v>83686</v>
      </c>
      <c r="F938" s="360">
        <v>83678</v>
      </c>
      <c r="G938" s="360">
        <v>83961</v>
      </c>
      <c r="H938" s="360">
        <v>84498</v>
      </c>
    </row>
    <row r="939" spans="1:8" x14ac:dyDescent="0.2">
      <c r="A939" s="359" t="s">
        <v>2163</v>
      </c>
      <c r="B939" s="359"/>
      <c r="C939" s="359" t="s">
        <v>2164</v>
      </c>
      <c r="D939" s="360">
        <v>27731</v>
      </c>
      <c r="E939" s="360">
        <v>27731</v>
      </c>
      <c r="F939" s="360">
        <v>27266</v>
      </c>
      <c r="G939" s="360">
        <v>26693</v>
      </c>
      <c r="H939" s="360">
        <v>27514</v>
      </c>
    </row>
    <row r="940" spans="1:8" x14ac:dyDescent="0.2">
      <c r="A940" s="359" t="s">
        <v>2165</v>
      </c>
      <c r="B940" s="359"/>
      <c r="C940" s="359" t="s">
        <v>2166</v>
      </c>
      <c r="D940" s="360">
        <v>55070</v>
      </c>
      <c r="E940" s="360">
        <v>55064</v>
      </c>
      <c r="F940" s="360">
        <v>55243</v>
      </c>
      <c r="G940" s="360">
        <v>54921</v>
      </c>
      <c r="H940" s="360">
        <v>54665</v>
      </c>
    </row>
    <row r="941" spans="1:8" x14ac:dyDescent="0.2">
      <c r="A941" s="359" t="s">
        <v>2167</v>
      </c>
      <c r="B941" s="359"/>
      <c r="C941" s="359" t="s">
        <v>2168</v>
      </c>
      <c r="D941" s="360">
        <v>27469</v>
      </c>
      <c r="E941" s="360">
        <v>27469</v>
      </c>
      <c r="F941" s="360">
        <v>27514</v>
      </c>
      <c r="G941" s="360">
        <v>27764</v>
      </c>
      <c r="H941" s="360">
        <v>28536</v>
      </c>
    </row>
    <row r="942" spans="1:8" x14ac:dyDescent="0.2">
      <c r="A942" s="359" t="s">
        <v>2169</v>
      </c>
      <c r="B942" s="359"/>
      <c r="C942" s="359" t="s">
        <v>2170</v>
      </c>
      <c r="D942" s="360">
        <v>40400</v>
      </c>
      <c r="E942" s="360">
        <v>40400</v>
      </c>
      <c r="F942" s="360">
        <v>40584</v>
      </c>
      <c r="G942" s="360">
        <v>40610</v>
      </c>
      <c r="H942" s="360">
        <v>40629</v>
      </c>
    </row>
    <row r="943" spans="1:8" x14ac:dyDescent="0.2">
      <c r="A943" s="359" t="s">
        <v>2171</v>
      </c>
      <c r="B943" s="359"/>
      <c r="C943" s="359" t="s">
        <v>2172</v>
      </c>
      <c r="D943" s="360">
        <v>102228</v>
      </c>
      <c r="E943" s="360">
        <v>102228</v>
      </c>
      <c r="F943" s="360">
        <v>102167</v>
      </c>
      <c r="G943" s="360">
        <v>102538</v>
      </c>
      <c r="H943" s="360">
        <v>102851</v>
      </c>
    </row>
    <row r="944" spans="1:8" x14ac:dyDescent="0.2">
      <c r="A944" s="359" t="s">
        <v>2173</v>
      </c>
      <c r="B944" s="359"/>
      <c r="C944" s="359" t="s">
        <v>2174</v>
      </c>
      <c r="D944" s="360">
        <v>22398</v>
      </c>
      <c r="E944" s="360">
        <v>22398</v>
      </c>
      <c r="F944" s="360">
        <v>22575</v>
      </c>
      <c r="G944" s="360">
        <v>24416</v>
      </c>
      <c r="H944" s="360">
        <v>26697</v>
      </c>
    </row>
    <row r="945" spans="1:8" x14ac:dyDescent="0.2">
      <c r="A945" s="359" t="s">
        <v>2175</v>
      </c>
      <c r="B945" s="359"/>
      <c r="C945" s="359" t="s">
        <v>2176</v>
      </c>
      <c r="D945" s="360">
        <v>42239</v>
      </c>
      <c r="E945" s="360">
        <v>42239</v>
      </c>
      <c r="F945" s="360">
        <v>42252</v>
      </c>
      <c r="G945" s="360">
        <v>42222</v>
      </c>
      <c r="H945" s="360">
        <v>42379</v>
      </c>
    </row>
    <row r="946" spans="1:8" x14ac:dyDescent="0.2">
      <c r="A946" s="359" t="s">
        <v>2177</v>
      </c>
      <c r="B946" s="359"/>
      <c r="C946" s="359" t="s">
        <v>2178</v>
      </c>
      <c r="D946" s="360">
        <v>42040</v>
      </c>
      <c r="E946" s="360">
        <v>42040</v>
      </c>
      <c r="F946" s="360">
        <v>41890</v>
      </c>
      <c r="G946" s="360">
        <v>41955</v>
      </c>
      <c r="H946" s="360">
        <v>41886</v>
      </c>
    </row>
    <row r="947" spans="1:8" x14ac:dyDescent="0.2">
      <c r="A947" s="359" t="s">
        <v>2179</v>
      </c>
      <c r="B947" s="359"/>
      <c r="C947" s="359" t="s">
        <v>2180</v>
      </c>
      <c r="D947" s="360">
        <v>81234</v>
      </c>
      <c r="E947" s="360">
        <v>81234</v>
      </c>
      <c r="F947" s="360">
        <v>81300</v>
      </c>
      <c r="G947" s="360">
        <v>81479</v>
      </c>
      <c r="H947" s="360">
        <v>81867</v>
      </c>
    </row>
    <row r="948" spans="1:8" x14ac:dyDescent="0.2">
      <c r="A948" s="359" t="s">
        <v>2181</v>
      </c>
      <c r="B948" s="359"/>
      <c r="C948" s="359" t="s">
        <v>2182</v>
      </c>
      <c r="D948" s="360">
        <v>16528</v>
      </c>
      <c r="E948" s="360">
        <v>16529</v>
      </c>
      <c r="F948" s="360">
        <v>16604</v>
      </c>
      <c r="G948" s="360">
        <v>16653</v>
      </c>
      <c r="H948" s="360">
        <v>17048</v>
      </c>
    </row>
    <row r="949" spans="1:8" x14ac:dyDescent="0.2">
      <c r="A949" s="359" t="s">
        <v>2183</v>
      </c>
      <c r="B949" s="359"/>
      <c r="C949" s="359" t="s">
        <v>2184</v>
      </c>
      <c r="D949" s="360">
        <v>51461</v>
      </c>
      <c r="E949" s="360">
        <v>51461</v>
      </c>
      <c r="F949" s="360">
        <v>51390</v>
      </c>
      <c r="G949" s="360">
        <v>51506</v>
      </c>
      <c r="H949" s="360">
        <v>51629</v>
      </c>
    </row>
    <row r="950" spans="1:8" x14ac:dyDescent="0.2">
      <c r="A950" s="359" t="s">
        <v>2185</v>
      </c>
      <c r="B950" s="359"/>
      <c r="C950" s="359" t="s">
        <v>2186</v>
      </c>
      <c r="D950" s="360">
        <v>74749</v>
      </c>
      <c r="E950" s="360">
        <v>74749</v>
      </c>
      <c r="F950" s="360">
        <v>74768</v>
      </c>
      <c r="G950" s="360">
        <v>74619</v>
      </c>
      <c r="H950" s="360">
        <v>74424</v>
      </c>
    </row>
    <row r="951" spans="1:8" x14ac:dyDescent="0.2">
      <c r="A951" s="359" t="s">
        <v>2187</v>
      </c>
      <c r="B951" s="359"/>
      <c r="C951" s="359" t="s">
        <v>2188</v>
      </c>
      <c r="D951" s="360">
        <v>20081</v>
      </c>
      <c r="E951" s="360">
        <v>20081</v>
      </c>
      <c r="F951" s="360">
        <v>19971</v>
      </c>
      <c r="G951" s="360">
        <v>20055</v>
      </c>
      <c r="H951" s="360">
        <v>20548</v>
      </c>
    </row>
    <row r="952" spans="1:8" x14ac:dyDescent="0.2">
      <c r="A952" s="359" t="s">
        <v>2189</v>
      </c>
      <c r="B952" s="359"/>
      <c r="C952" s="359" t="s">
        <v>2190</v>
      </c>
      <c r="D952" s="360">
        <v>114520</v>
      </c>
      <c r="E952" s="360">
        <v>114515</v>
      </c>
      <c r="F952" s="360">
        <v>114480</v>
      </c>
      <c r="G952" s="360">
        <v>114694</v>
      </c>
      <c r="H952" s="360">
        <v>114848</v>
      </c>
    </row>
    <row r="953" spans="1:8" x14ac:dyDescent="0.2">
      <c r="A953" s="359" t="s">
        <v>2191</v>
      </c>
      <c r="B953" s="359"/>
      <c r="C953" s="359" t="s">
        <v>2192</v>
      </c>
      <c r="D953" s="360">
        <v>21378</v>
      </c>
      <c r="E953" s="360">
        <v>21378</v>
      </c>
      <c r="F953" s="360">
        <v>21367</v>
      </c>
      <c r="G953" s="360">
        <v>21446</v>
      </c>
      <c r="H953" s="360">
        <v>21487</v>
      </c>
    </row>
    <row r="954" spans="1:8" x14ac:dyDescent="0.2">
      <c r="A954" s="359" t="s">
        <v>2193</v>
      </c>
      <c r="B954" s="359"/>
      <c r="C954" s="359" t="s">
        <v>2194</v>
      </c>
      <c r="D954" s="360">
        <v>22438</v>
      </c>
      <c r="E954" s="360">
        <v>22438</v>
      </c>
      <c r="F954" s="360">
        <v>22457</v>
      </c>
      <c r="G954" s="360">
        <v>22510</v>
      </c>
      <c r="H954" s="360">
        <v>22603</v>
      </c>
    </row>
    <row r="955" spans="1:8" x14ac:dyDescent="0.2">
      <c r="A955" s="359" t="s">
        <v>2195</v>
      </c>
      <c r="B955" s="359"/>
      <c r="C955" s="359" t="s">
        <v>2196</v>
      </c>
      <c r="D955" s="360">
        <v>86074</v>
      </c>
      <c r="E955" s="360">
        <v>86074</v>
      </c>
      <c r="F955" s="360">
        <v>86200</v>
      </c>
      <c r="G955" s="360">
        <v>86176</v>
      </c>
      <c r="H955" s="360">
        <v>85950</v>
      </c>
    </row>
    <row r="956" spans="1:8" x14ac:dyDescent="0.2">
      <c r="A956" s="364" t="s">
        <v>2197</v>
      </c>
      <c r="B956" s="364"/>
      <c r="C956" s="364" t="s">
        <v>2198</v>
      </c>
      <c r="D956" s="365">
        <v>14018</v>
      </c>
      <c r="E956" s="365">
        <v>14018</v>
      </c>
      <c r="F956" s="365">
        <v>14069</v>
      </c>
      <c r="G956" s="365">
        <v>14193</v>
      </c>
      <c r="H956" s="365">
        <v>14290</v>
      </c>
    </row>
    <row r="957" spans="1:8" ht="36.75" customHeight="1" x14ac:dyDescent="0.2">
      <c r="A957" s="524" t="s">
        <v>2199</v>
      </c>
      <c r="B957" s="525"/>
      <c r="C957" s="525"/>
      <c r="D957" s="525"/>
      <c r="E957" s="525"/>
      <c r="F957" s="525"/>
      <c r="G957" s="525"/>
      <c r="H957" s="525"/>
    </row>
    <row r="958" spans="1:8" ht="22.5" customHeight="1" x14ac:dyDescent="0.2">
      <c r="A958" s="526" t="s">
        <v>2200</v>
      </c>
      <c r="B958" s="527"/>
      <c r="C958" s="527"/>
      <c r="D958" s="527"/>
      <c r="E958" s="527"/>
      <c r="F958" s="527"/>
      <c r="G958" s="527"/>
      <c r="H958" s="528"/>
    </row>
    <row r="959" spans="1:8" x14ac:dyDescent="0.2">
      <c r="A959" s="529" t="s">
        <v>2201</v>
      </c>
      <c r="B959" s="530"/>
      <c r="C959" s="530"/>
      <c r="D959" s="530"/>
      <c r="E959" s="530"/>
      <c r="F959" s="530"/>
      <c r="G959" s="530"/>
      <c r="H959" s="531"/>
    </row>
    <row r="960" spans="1:8" ht="9.75" customHeight="1" x14ac:dyDescent="0.2">
      <c r="A960" s="532" t="s">
        <v>2202</v>
      </c>
      <c r="B960" s="533"/>
      <c r="C960" s="533"/>
      <c r="D960" s="533"/>
      <c r="E960" s="533"/>
      <c r="F960" s="533"/>
      <c r="G960" s="533"/>
      <c r="H960" s="534"/>
    </row>
    <row r="961" spans="1:8" ht="9.9499999999999993" customHeight="1" x14ac:dyDescent="0.2">
      <c r="A961" s="532" t="s">
        <v>2203</v>
      </c>
      <c r="B961" s="533"/>
      <c r="C961" s="533"/>
      <c r="D961" s="533"/>
      <c r="E961" s="533"/>
      <c r="F961" s="533"/>
      <c r="G961" s="533"/>
      <c r="H961" s="534"/>
    </row>
    <row r="962" spans="1:8" x14ac:dyDescent="0.2">
      <c r="A962" s="513" t="s">
        <v>2204</v>
      </c>
      <c r="B962" s="514"/>
      <c r="C962" s="514"/>
      <c r="D962" s="514"/>
      <c r="E962" s="514"/>
      <c r="F962" s="514"/>
      <c r="G962" s="514"/>
      <c r="H962" s="515"/>
    </row>
  </sheetData>
  <mergeCells count="13">
    <mergeCell ref="A962:H962"/>
    <mergeCell ref="A1:H1"/>
    <mergeCell ref="A2:H2"/>
    <mergeCell ref="A3:A4"/>
    <mergeCell ref="B3:B4"/>
    <mergeCell ref="C3:C4"/>
    <mergeCell ref="D3:E3"/>
    <mergeCell ref="F3:H3"/>
    <mergeCell ref="A957:H957"/>
    <mergeCell ref="A958:H958"/>
    <mergeCell ref="A959:H959"/>
    <mergeCell ref="A960:H960"/>
    <mergeCell ref="A961:H9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933"/>
  <sheetViews>
    <sheetView showGridLines="0" workbookViewId="0">
      <selection activeCell="B2" sqref="B2"/>
    </sheetView>
  </sheetViews>
  <sheetFormatPr defaultRowHeight="11.25" outlineLevelCol="1" x14ac:dyDescent="0.2"/>
  <cols>
    <col min="1" max="1" width="5.28515625" style="352" customWidth="1"/>
    <col min="2" max="2" width="7.7109375" style="352" customWidth="1"/>
    <col min="3" max="3" width="39.7109375" style="352" customWidth="1"/>
    <col min="4" max="7" width="14.42578125" style="352" hidden="1" customWidth="1" outlineLevel="1"/>
    <col min="8" max="8" width="14.42578125" style="352" customWidth="1" collapsed="1"/>
    <col min="9" max="256" width="9.140625" style="352"/>
    <col min="257" max="257" width="5.28515625" style="352" customWidth="1"/>
    <col min="258" max="258" width="7.7109375" style="352" customWidth="1"/>
    <col min="259" max="259" width="39.7109375" style="352" customWidth="1"/>
    <col min="260" max="264" width="14.42578125" style="352" customWidth="1"/>
    <col min="265" max="512" width="9.140625" style="352"/>
    <col min="513" max="513" width="5.28515625" style="352" customWidth="1"/>
    <col min="514" max="514" width="7.7109375" style="352" customWidth="1"/>
    <col min="515" max="515" width="39.7109375" style="352" customWidth="1"/>
    <col min="516" max="520" width="14.42578125" style="352" customWidth="1"/>
    <col min="521" max="768" width="9.140625" style="352"/>
    <col min="769" max="769" width="5.28515625" style="352" customWidth="1"/>
    <col min="770" max="770" width="7.7109375" style="352" customWidth="1"/>
    <col min="771" max="771" width="39.7109375" style="352" customWidth="1"/>
    <col min="772" max="776" width="14.42578125" style="352" customWidth="1"/>
    <col min="777" max="1024" width="9.140625" style="352"/>
    <col min="1025" max="1025" width="5.28515625" style="352" customWidth="1"/>
    <col min="1026" max="1026" width="7.7109375" style="352" customWidth="1"/>
    <col min="1027" max="1027" width="39.7109375" style="352" customWidth="1"/>
    <col min="1028" max="1032" width="14.42578125" style="352" customWidth="1"/>
    <col min="1033" max="1280" width="9.140625" style="352"/>
    <col min="1281" max="1281" width="5.28515625" style="352" customWidth="1"/>
    <col min="1282" max="1282" width="7.7109375" style="352" customWidth="1"/>
    <col min="1283" max="1283" width="39.7109375" style="352" customWidth="1"/>
    <col min="1284" max="1288" width="14.42578125" style="352" customWidth="1"/>
    <col min="1289" max="1536" width="9.140625" style="352"/>
    <col min="1537" max="1537" width="5.28515625" style="352" customWidth="1"/>
    <col min="1538" max="1538" width="7.7109375" style="352" customWidth="1"/>
    <col min="1539" max="1539" width="39.7109375" style="352" customWidth="1"/>
    <col min="1540" max="1544" width="14.42578125" style="352" customWidth="1"/>
    <col min="1545" max="1792" width="9.140625" style="352"/>
    <col min="1793" max="1793" width="5.28515625" style="352" customWidth="1"/>
    <col min="1794" max="1794" width="7.7109375" style="352" customWidth="1"/>
    <col min="1795" max="1795" width="39.7109375" style="352" customWidth="1"/>
    <col min="1796" max="1800" width="14.42578125" style="352" customWidth="1"/>
    <col min="1801" max="2048" width="9.140625" style="352"/>
    <col min="2049" max="2049" width="5.28515625" style="352" customWidth="1"/>
    <col min="2050" max="2050" width="7.7109375" style="352" customWidth="1"/>
    <col min="2051" max="2051" width="39.7109375" style="352" customWidth="1"/>
    <col min="2052" max="2056" width="14.42578125" style="352" customWidth="1"/>
    <col min="2057" max="2304" width="9.140625" style="352"/>
    <col min="2305" max="2305" width="5.28515625" style="352" customWidth="1"/>
    <col min="2306" max="2306" width="7.7109375" style="352" customWidth="1"/>
    <col min="2307" max="2307" width="39.7109375" style="352" customWidth="1"/>
    <col min="2308" max="2312" width="14.42578125" style="352" customWidth="1"/>
    <col min="2313" max="2560" width="9.140625" style="352"/>
    <col min="2561" max="2561" width="5.28515625" style="352" customWidth="1"/>
    <col min="2562" max="2562" width="7.7109375" style="352" customWidth="1"/>
    <col min="2563" max="2563" width="39.7109375" style="352" customWidth="1"/>
    <col min="2564" max="2568" width="14.42578125" style="352" customWidth="1"/>
    <col min="2569" max="2816" width="9.140625" style="352"/>
    <col min="2817" max="2817" width="5.28515625" style="352" customWidth="1"/>
    <col min="2818" max="2818" width="7.7109375" style="352" customWidth="1"/>
    <col min="2819" max="2819" width="39.7109375" style="352" customWidth="1"/>
    <col min="2820" max="2824" width="14.42578125" style="352" customWidth="1"/>
    <col min="2825" max="3072" width="9.140625" style="352"/>
    <col min="3073" max="3073" width="5.28515625" style="352" customWidth="1"/>
    <col min="3074" max="3074" width="7.7109375" style="352" customWidth="1"/>
    <col min="3075" max="3075" width="39.7109375" style="352" customWidth="1"/>
    <col min="3076" max="3080" width="14.42578125" style="352" customWidth="1"/>
    <col min="3081" max="3328" width="9.140625" style="352"/>
    <col min="3329" max="3329" width="5.28515625" style="352" customWidth="1"/>
    <col min="3330" max="3330" width="7.7109375" style="352" customWidth="1"/>
    <col min="3331" max="3331" width="39.7109375" style="352" customWidth="1"/>
    <col min="3332" max="3336" width="14.42578125" style="352" customWidth="1"/>
    <col min="3337" max="3584" width="9.140625" style="352"/>
    <col min="3585" max="3585" width="5.28515625" style="352" customWidth="1"/>
    <col min="3586" max="3586" width="7.7109375" style="352" customWidth="1"/>
    <col min="3587" max="3587" width="39.7109375" style="352" customWidth="1"/>
    <col min="3588" max="3592" width="14.42578125" style="352" customWidth="1"/>
    <col min="3593" max="3840" width="9.140625" style="352"/>
    <col min="3841" max="3841" width="5.28515625" style="352" customWidth="1"/>
    <col min="3842" max="3842" width="7.7109375" style="352" customWidth="1"/>
    <col min="3843" max="3843" width="39.7109375" style="352" customWidth="1"/>
    <col min="3844" max="3848" width="14.42578125" style="352" customWidth="1"/>
    <col min="3849" max="4096" width="9.140625" style="352"/>
    <col min="4097" max="4097" width="5.28515625" style="352" customWidth="1"/>
    <col min="4098" max="4098" width="7.7109375" style="352" customWidth="1"/>
    <col min="4099" max="4099" width="39.7109375" style="352" customWidth="1"/>
    <col min="4100" max="4104" width="14.42578125" style="352" customWidth="1"/>
    <col min="4105" max="4352" width="9.140625" style="352"/>
    <col min="4353" max="4353" width="5.28515625" style="352" customWidth="1"/>
    <col min="4354" max="4354" width="7.7109375" style="352" customWidth="1"/>
    <col min="4355" max="4355" width="39.7109375" style="352" customWidth="1"/>
    <col min="4356" max="4360" width="14.42578125" style="352" customWidth="1"/>
    <col min="4361" max="4608" width="9.140625" style="352"/>
    <col min="4609" max="4609" width="5.28515625" style="352" customWidth="1"/>
    <col min="4610" max="4610" width="7.7109375" style="352" customWidth="1"/>
    <col min="4611" max="4611" width="39.7109375" style="352" customWidth="1"/>
    <col min="4612" max="4616" width="14.42578125" style="352" customWidth="1"/>
    <col min="4617" max="4864" width="9.140625" style="352"/>
    <col min="4865" max="4865" width="5.28515625" style="352" customWidth="1"/>
    <col min="4866" max="4866" width="7.7109375" style="352" customWidth="1"/>
    <col min="4867" max="4867" width="39.7109375" style="352" customWidth="1"/>
    <col min="4868" max="4872" width="14.42578125" style="352" customWidth="1"/>
    <col min="4873" max="5120" width="9.140625" style="352"/>
    <col min="5121" max="5121" width="5.28515625" style="352" customWidth="1"/>
    <col min="5122" max="5122" width="7.7109375" style="352" customWidth="1"/>
    <col min="5123" max="5123" width="39.7109375" style="352" customWidth="1"/>
    <col min="5124" max="5128" width="14.42578125" style="352" customWidth="1"/>
    <col min="5129" max="5376" width="9.140625" style="352"/>
    <col min="5377" max="5377" width="5.28515625" style="352" customWidth="1"/>
    <col min="5378" max="5378" width="7.7109375" style="352" customWidth="1"/>
    <col min="5379" max="5379" width="39.7109375" style="352" customWidth="1"/>
    <col min="5380" max="5384" width="14.42578125" style="352" customWidth="1"/>
    <col min="5385" max="5632" width="9.140625" style="352"/>
    <col min="5633" max="5633" width="5.28515625" style="352" customWidth="1"/>
    <col min="5634" max="5634" width="7.7109375" style="352" customWidth="1"/>
    <col min="5635" max="5635" width="39.7109375" style="352" customWidth="1"/>
    <col min="5636" max="5640" width="14.42578125" style="352" customWidth="1"/>
    <col min="5641" max="5888" width="9.140625" style="352"/>
    <col min="5889" max="5889" width="5.28515625" style="352" customWidth="1"/>
    <col min="5890" max="5890" width="7.7109375" style="352" customWidth="1"/>
    <col min="5891" max="5891" width="39.7109375" style="352" customWidth="1"/>
    <col min="5892" max="5896" width="14.42578125" style="352" customWidth="1"/>
    <col min="5897" max="6144" width="9.140625" style="352"/>
    <col min="6145" max="6145" width="5.28515625" style="352" customWidth="1"/>
    <col min="6146" max="6146" width="7.7109375" style="352" customWidth="1"/>
    <col min="6147" max="6147" width="39.7109375" style="352" customWidth="1"/>
    <col min="6148" max="6152" width="14.42578125" style="352" customWidth="1"/>
    <col min="6153" max="6400" width="9.140625" style="352"/>
    <col min="6401" max="6401" width="5.28515625" style="352" customWidth="1"/>
    <col min="6402" max="6402" width="7.7109375" style="352" customWidth="1"/>
    <col min="6403" max="6403" width="39.7109375" style="352" customWidth="1"/>
    <col min="6404" max="6408" width="14.42578125" style="352" customWidth="1"/>
    <col min="6409" max="6656" width="9.140625" style="352"/>
    <col min="6657" max="6657" width="5.28515625" style="352" customWidth="1"/>
    <col min="6658" max="6658" width="7.7109375" style="352" customWidth="1"/>
    <col min="6659" max="6659" width="39.7109375" style="352" customWidth="1"/>
    <col min="6660" max="6664" width="14.42578125" style="352" customWidth="1"/>
    <col min="6665" max="6912" width="9.140625" style="352"/>
    <col min="6913" max="6913" width="5.28515625" style="352" customWidth="1"/>
    <col min="6914" max="6914" width="7.7109375" style="352" customWidth="1"/>
    <col min="6915" max="6915" width="39.7109375" style="352" customWidth="1"/>
    <col min="6916" max="6920" width="14.42578125" style="352" customWidth="1"/>
    <col min="6921" max="7168" width="9.140625" style="352"/>
    <col min="7169" max="7169" width="5.28515625" style="352" customWidth="1"/>
    <col min="7170" max="7170" width="7.7109375" style="352" customWidth="1"/>
    <col min="7171" max="7171" width="39.7109375" style="352" customWidth="1"/>
    <col min="7172" max="7176" width="14.42578125" style="352" customWidth="1"/>
    <col min="7177" max="7424" width="9.140625" style="352"/>
    <col min="7425" max="7425" width="5.28515625" style="352" customWidth="1"/>
    <col min="7426" max="7426" width="7.7109375" style="352" customWidth="1"/>
    <col min="7427" max="7427" width="39.7109375" style="352" customWidth="1"/>
    <col min="7428" max="7432" width="14.42578125" style="352" customWidth="1"/>
    <col min="7433" max="7680" width="9.140625" style="352"/>
    <col min="7681" max="7681" width="5.28515625" style="352" customWidth="1"/>
    <col min="7682" max="7682" width="7.7109375" style="352" customWidth="1"/>
    <col min="7683" max="7683" width="39.7109375" style="352" customWidth="1"/>
    <col min="7684" max="7688" width="14.42578125" style="352" customWidth="1"/>
    <col min="7689" max="7936" width="9.140625" style="352"/>
    <col min="7937" max="7937" width="5.28515625" style="352" customWidth="1"/>
    <col min="7938" max="7938" width="7.7109375" style="352" customWidth="1"/>
    <col min="7939" max="7939" width="39.7109375" style="352" customWidth="1"/>
    <col min="7940" max="7944" width="14.42578125" style="352" customWidth="1"/>
    <col min="7945" max="8192" width="9.140625" style="352"/>
    <col min="8193" max="8193" width="5.28515625" style="352" customWidth="1"/>
    <col min="8194" max="8194" width="7.7109375" style="352" customWidth="1"/>
    <col min="8195" max="8195" width="39.7109375" style="352" customWidth="1"/>
    <col min="8196" max="8200" width="14.42578125" style="352" customWidth="1"/>
    <col min="8201" max="8448" width="9.140625" style="352"/>
    <col min="8449" max="8449" width="5.28515625" style="352" customWidth="1"/>
    <col min="8450" max="8450" width="7.7109375" style="352" customWidth="1"/>
    <col min="8451" max="8451" width="39.7109375" style="352" customWidth="1"/>
    <col min="8452" max="8456" width="14.42578125" style="352" customWidth="1"/>
    <col min="8457" max="8704" width="9.140625" style="352"/>
    <col min="8705" max="8705" width="5.28515625" style="352" customWidth="1"/>
    <col min="8706" max="8706" width="7.7109375" style="352" customWidth="1"/>
    <col min="8707" max="8707" width="39.7109375" style="352" customWidth="1"/>
    <col min="8708" max="8712" width="14.42578125" style="352" customWidth="1"/>
    <col min="8713" max="8960" width="9.140625" style="352"/>
    <col min="8961" max="8961" width="5.28515625" style="352" customWidth="1"/>
    <col min="8962" max="8962" width="7.7109375" style="352" customWidth="1"/>
    <col min="8963" max="8963" width="39.7109375" style="352" customWidth="1"/>
    <col min="8964" max="8968" width="14.42578125" style="352" customWidth="1"/>
    <col min="8969" max="9216" width="9.140625" style="352"/>
    <col min="9217" max="9217" width="5.28515625" style="352" customWidth="1"/>
    <col min="9218" max="9218" width="7.7109375" style="352" customWidth="1"/>
    <col min="9219" max="9219" width="39.7109375" style="352" customWidth="1"/>
    <col min="9220" max="9224" width="14.42578125" style="352" customWidth="1"/>
    <col min="9225" max="9472" width="9.140625" style="352"/>
    <col min="9473" max="9473" width="5.28515625" style="352" customWidth="1"/>
    <col min="9474" max="9474" width="7.7109375" style="352" customWidth="1"/>
    <col min="9475" max="9475" width="39.7109375" style="352" customWidth="1"/>
    <col min="9476" max="9480" width="14.42578125" style="352" customWidth="1"/>
    <col min="9481" max="9728" width="9.140625" style="352"/>
    <col min="9729" max="9729" width="5.28515625" style="352" customWidth="1"/>
    <col min="9730" max="9730" width="7.7109375" style="352" customWidth="1"/>
    <col min="9731" max="9731" width="39.7109375" style="352" customWidth="1"/>
    <col min="9732" max="9736" width="14.42578125" style="352" customWidth="1"/>
    <col min="9737" max="9984" width="9.140625" style="352"/>
    <col min="9985" max="9985" width="5.28515625" style="352" customWidth="1"/>
    <col min="9986" max="9986" width="7.7109375" style="352" customWidth="1"/>
    <col min="9987" max="9987" width="39.7109375" style="352" customWidth="1"/>
    <col min="9988" max="9992" width="14.42578125" style="352" customWidth="1"/>
    <col min="9993" max="10240" width="9.140625" style="352"/>
    <col min="10241" max="10241" width="5.28515625" style="352" customWidth="1"/>
    <col min="10242" max="10242" width="7.7109375" style="352" customWidth="1"/>
    <col min="10243" max="10243" width="39.7109375" style="352" customWidth="1"/>
    <col min="10244" max="10248" width="14.42578125" style="352" customWidth="1"/>
    <col min="10249" max="10496" width="9.140625" style="352"/>
    <col min="10497" max="10497" width="5.28515625" style="352" customWidth="1"/>
    <col min="10498" max="10498" width="7.7109375" style="352" customWidth="1"/>
    <col min="10499" max="10499" width="39.7109375" style="352" customWidth="1"/>
    <col min="10500" max="10504" width="14.42578125" style="352" customWidth="1"/>
    <col min="10505" max="10752" width="9.140625" style="352"/>
    <col min="10753" max="10753" width="5.28515625" style="352" customWidth="1"/>
    <col min="10754" max="10754" width="7.7109375" style="352" customWidth="1"/>
    <col min="10755" max="10755" width="39.7109375" style="352" customWidth="1"/>
    <col min="10756" max="10760" width="14.42578125" style="352" customWidth="1"/>
    <col min="10761" max="11008" width="9.140625" style="352"/>
    <col min="11009" max="11009" width="5.28515625" style="352" customWidth="1"/>
    <col min="11010" max="11010" width="7.7109375" style="352" customWidth="1"/>
    <col min="11011" max="11011" width="39.7109375" style="352" customWidth="1"/>
    <col min="11012" max="11016" width="14.42578125" style="352" customWidth="1"/>
    <col min="11017" max="11264" width="9.140625" style="352"/>
    <col min="11265" max="11265" width="5.28515625" style="352" customWidth="1"/>
    <col min="11266" max="11266" width="7.7109375" style="352" customWidth="1"/>
    <col min="11267" max="11267" width="39.7109375" style="352" customWidth="1"/>
    <col min="11268" max="11272" width="14.42578125" style="352" customWidth="1"/>
    <col min="11273" max="11520" width="9.140625" style="352"/>
    <col min="11521" max="11521" width="5.28515625" style="352" customWidth="1"/>
    <col min="11522" max="11522" width="7.7109375" style="352" customWidth="1"/>
    <col min="11523" max="11523" width="39.7109375" style="352" customWidth="1"/>
    <col min="11524" max="11528" width="14.42578125" style="352" customWidth="1"/>
    <col min="11529" max="11776" width="9.140625" style="352"/>
    <col min="11777" max="11777" width="5.28515625" style="352" customWidth="1"/>
    <col min="11778" max="11778" width="7.7109375" style="352" customWidth="1"/>
    <col min="11779" max="11779" width="39.7109375" style="352" customWidth="1"/>
    <col min="11780" max="11784" width="14.42578125" style="352" customWidth="1"/>
    <col min="11785" max="12032" width="9.140625" style="352"/>
    <col min="12033" max="12033" width="5.28515625" style="352" customWidth="1"/>
    <col min="12034" max="12034" width="7.7109375" style="352" customWidth="1"/>
    <col min="12035" max="12035" width="39.7109375" style="352" customWidth="1"/>
    <col min="12036" max="12040" width="14.42578125" style="352" customWidth="1"/>
    <col min="12041" max="12288" width="9.140625" style="352"/>
    <col min="12289" max="12289" width="5.28515625" style="352" customWidth="1"/>
    <col min="12290" max="12290" width="7.7109375" style="352" customWidth="1"/>
    <col min="12291" max="12291" width="39.7109375" style="352" customWidth="1"/>
    <col min="12292" max="12296" width="14.42578125" style="352" customWidth="1"/>
    <col min="12297" max="12544" width="9.140625" style="352"/>
    <col min="12545" max="12545" width="5.28515625" style="352" customWidth="1"/>
    <col min="12546" max="12546" width="7.7109375" style="352" customWidth="1"/>
    <col min="12547" max="12547" width="39.7109375" style="352" customWidth="1"/>
    <col min="12548" max="12552" width="14.42578125" style="352" customWidth="1"/>
    <col min="12553" max="12800" width="9.140625" style="352"/>
    <col min="12801" max="12801" width="5.28515625" style="352" customWidth="1"/>
    <col min="12802" max="12802" width="7.7109375" style="352" customWidth="1"/>
    <col min="12803" max="12803" width="39.7109375" style="352" customWidth="1"/>
    <col min="12804" max="12808" width="14.42578125" style="352" customWidth="1"/>
    <col min="12809" max="13056" width="9.140625" style="352"/>
    <col min="13057" max="13057" width="5.28515625" style="352" customWidth="1"/>
    <col min="13058" max="13058" width="7.7109375" style="352" customWidth="1"/>
    <col min="13059" max="13059" width="39.7109375" style="352" customWidth="1"/>
    <col min="13060" max="13064" width="14.42578125" style="352" customWidth="1"/>
    <col min="13065" max="13312" width="9.140625" style="352"/>
    <col min="13313" max="13313" width="5.28515625" style="352" customWidth="1"/>
    <col min="13314" max="13314" width="7.7109375" style="352" customWidth="1"/>
    <col min="13315" max="13315" width="39.7109375" style="352" customWidth="1"/>
    <col min="13316" max="13320" width="14.42578125" style="352" customWidth="1"/>
    <col min="13321" max="13568" width="9.140625" style="352"/>
    <col min="13569" max="13569" width="5.28515625" style="352" customWidth="1"/>
    <col min="13570" max="13570" width="7.7109375" style="352" customWidth="1"/>
    <col min="13571" max="13571" width="39.7109375" style="352" customWidth="1"/>
    <col min="13572" max="13576" width="14.42578125" style="352" customWidth="1"/>
    <col min="13577" max="13824" width="9.140625" style="352"/>
    <col min="13825" max="13825" width="5.28515625" style="352" customWidth="1"/>
    <col min="13826" max="13826" width="7.7109375" style="352" customWidth="1"/>
    <col min="13827" max="13827" width="39.7109375" style="352" customWidth="1"/>
    <col min="13828" max="13832" width="14.42578125" style="352" customWidth="1"/>
    <col min="13833" max="14080" width="9.140625" style="352"/>
    <col min="14081" max="14081" width="5.28515625" style="352" customWidth="1"/>
    <col min="14082" max="14082" width="7.7109375" style="352" customWidth="1"/>
    <col min="14083" max="14083" width="39.7109375" style="352" customWidth="1"/>
    <col min="14084" max="14088" width="14.42578125" style="352" customWidth="1"/>
    <col min="14089" max="14336" width="9.140625" style="352"/>
    <col min="14337" max="14337" width="5.28515625" style="352" customWidth="1"/>
    <col min="14338" max="14338" width="7.7109375" style="352" customWidth="1"/>
    <col min="14339" max="14339" width="39.7109375" style="352" customWidth="1"/>
    <col min="14340" max="14344" width="14.42578125" style="352" customWidth="1"/>
    <col min="14345" max="14592" width="9.140625" style="352"/>
    <col min="14593" max="14593" width="5.28515625" style="352" customWidth="1"/>
    <col min="14594" max="14594" width="7.7109375" style="352" customWidth="1"/>
    <col min="14595" max="14595" width="39.7109375" style="352" customWidth="1"/>
    <col min="14596" max="14600" width="14.42578125" style="352" customWidth="1"/>
    <col min="14601" max="14848" width="9.140625" style="352"/>
    <col min="14849" max="14849" width="5.28515625" style="352" customWidth="1"/>
    <col min="14850" max="14850" width="7.7109375" style="352" customWidth="1"/>
    <col min="14851" max="14851" width="39.7109375" style="352" customWidth="1"/>
    <col min="14852" max="14856" width="14.42578125" style="352" customWidth="1"/>
    <col min="14857" max="15104" width="9.140625" style="352"/>
    <col min="15105" max="15105" width="5.28515625" style="352" customWidth="1"/>
    <col min="15106" max="15106" width="7.7109375" style="352" customWidth="1"/>
    <col min="15107" max="15107" width="39.7109375" style="352" customWidth="1"/>
    <col min="15108" max="15112" width="14.42578125" style="352" customWidth="1"/>
    <col min="15113" max="15360" width="9.140625" style="352"/>
    <col min="15361" max="15361" width="5.28515625" style="352" customWidth="1"/>
    <col min="15362" max="15362" width="7.7109375" style="352" customWidth="1"/>
    <col min="15363" max="15363" width="39.7109375" style="352" customWidth="1"/>
    <col min="15364" max="15368" width="14.42578125" style="352" customWidth="1"/>
    <col min="15369" max="15616" width="9.140625" style="352"/>
    <col min="15617" max="15617" width="5.28515625" style="352" customWidth="1"/>
    <col min="15618" max="15618" width="7.7109375" style="352" customWidth="1"/>
    <col min="15619" max="15619" width="39.7109375" style="352" customWidth="1"/>
    <col min="15620" max="15624" width="14.42578125" style="352" customWidth="1"/>
    <col min="15625" max="15872" width="9.140625" style="352"/>
    <col min="15873" max="15873" width="5.28515625" style="352" customWidth="1"/>
    <col min="15874" max="15874" width="7.7109375" style="352" customWidth="1"/>
    <col min="15875" max="15875" width="39.7109375" style="352" customWidth="1"/>
    <col min="15876" max="15880" width="14.42578125" style="352" customWidth="1"/>
    <col min="15881" max="16128" width="9.140625" style="352"/>
    <col min="16129" max="16129" width="5.28515625" style="352" customWidth="1"/>
    <col min="16130" max="16130" width="7.7109375" style="352" customWidth="1"/>
    <col min="16131" max="16131" width="39.7109375" style="352" customWidth="1"/>
    <col min="16132" max="16136" width="14.42578125" style="352" customWidth="1"/>
    <col min="16137" max="16384" width="9.140625" style="352"/>
  </cols>
  <sheetData>
    <row r="1" spans="1:8" ht="2.25" customHeight="1" x14ac:dyDescent="0.2">
      <c r="A1" s="516" t="s">
        <v>292</v>
      </c>
      <c r="B1" s="516"/>
      <c r="C1" s="516"/>
      <c r="D1" s="516"/>
      <c r="E1" s="516"/>
      <c r="F1" s="516"/>
      <c r="G1" s="516"/>
      <c r="H1" s="516"/>
    </row>
    <row r="2" spans="1:8" ht="11.1" customHeight="1" x14ac:dyDescent="0.2">
      <c r="A2" s="503" t="s">
        <v>293</v>
      </c>
      <c r="B2" s="504"/>
      <c r="C2" s="504"/>
      <c r="D2" s="504"/>
      <c r="E2" s="504"/>
      <c r="F2" s="504"/>
      <c r="G2" s="504"/>
      <c r="H2" s="504"/>
    </row>
    <row r="3" spans="1:8" s="353" customFormat="1" ht="22.5" customHeight="1" x14ac:dyDescent="0.2">
      <c r="A3" s="519" t="s">
        <v>294</v>
      </c>
      <c r="B3" s="519" t="s">
        <v>295</v>
      </c>
      <c r="C3" s="505" t="s">
        <v>296</v>
      </c>
      <c r="D3" s="507">
        <v>40269</v>
      </c>
      <c r="E3" s="508"/>
      <c r="F3" s="503" t="s">
        <v>297</v>
      </c>
      <c r="G3" s="509"/>
      <c r="H3" s="509"/>
    </row>
    <row r="4" spans="1:8" s="355" customFormat="1" ht="22.5" customHeight="1" x14ac:dyDescent="0.2">
      <c r="A4" s="520"/>
      <c r="B4" s="520"/>
      <c r="C4" s="506"/>
      <c r="D4" s="354" t="s">
        <v>298</v>
      </c>
      <c r="E4" s="354" t="s">
        <v>299</v>
      </c>
      <c r="F4" s="354">
        <v>2010</v>
      </c>
      <c r="G4" s="354">
        <v>2011</v>
      </c>
      <c r="H4" s="354">
        <v>2012</v>
      </c>
    </row>
    <row r="5" spans="1:8" s="355" customFormat="1" x14ac:dyDescent="0.2">
      <c r="A5" s="356"/>
      <c r="B5" s="356"/>
      <c r="C5" s="357" t="s">
        <v>300</v>
      </c>
      <c r="D5" s="358"/>
      <c r="E5" s="358"/>
      <c r="F5" s="358"/>
      <c r="G5" s="358"/>
      <c r="H5" s="358"/>
    </row>
    <row r="6" spans="1:8" s="355" customFormat="1" x14ac:dyDescent="0.2">
      <c r="A6" s="359" t="s">
        <v>830</v>
      </c>
      <c r="B6" s="359">
        <v>1</v>
      </c>
      <c r="C6" s="359" t="s">
        <v>831</v>
      </c>
      <c r="D6" s="360">
        <v>19567410</v>
      </c>
      <c r="E6" s="360">
        <v>19567407</v>
      </c>
      <c r="F6" s="360">
        <v>19598491</v>
      </c>
      <c r="G6" s="360">
        <v>19729930</v>
      </c>
      <c r="H6" s="360">
        <v>19831858</v>
      </c>
    </row>
    <row r="7" spans="1:8" x14ac:dyDescent="0.2">
      <c r="A7" s="359" t="s">
        <v>742</v>
      </c>
      <c r="B7" s="359">
        <f>+B6+1</f>
        <v>2</v>
      </c>
      <c r="C7" s="359" t="s">
        <v>743</v>
      </c>
      <c r="D7" s="360">
        <v>12828837</v>
      </c>
      <c r="E7" s="360">
        <v>12828842</v>
      </c>
      <c r="F7" s="360">
        <v>12843942</v>
      </c>
      <c r="G7" s="360">
        <v>12945140</v>
      </c>
      <c r="H7" s="360">
        <v>13052921</v>
      </c>
    </row>
    <row r="8" spans="1:8" x14ac:dyDescent="0.2">
      <c r="A8" s="359" t="s">
        <v>444</v>
      </c>
      <c r="B8" s="359">
        <f t="shared" ref="B8:B71" si="0">+B7+1</f>
        <v>3</v>
      </c>
      <c r="C8" s="359" t="s">
        <v>445</v>
      </c>
      <c r="D8" s="360">
        <v>9461105</v>
      </c>
      <c r="E8" s="360">
        <v>9461105</v>
      </c>
      <c r="F8" s="360">
        <v>9471608</v>
      </c>
      <c r="G8" s="360">
        <v>9495719</v>
      </c>
      <c r="H8" s="360">
        <v>9522434</v>
      </c>
    </row>
    <row r="9" spans="1:8" x14ac:dyDescent="0.2">
      <c r="A9" s="359" t="s">
        <v>488</v>
      </c>
      <c r="B9" s="359">
        <f t="shared" si="0"/>
        <v>4</v>
      </c>
      <c r="C9" s="359" t="s">
        <v>489</v>
      </c>
      <c r="D9" s="360">
        <v>6426214</v>
      </c>
      <c r="E9" s="360">
        <v>6426210</v>
      </c>
      <c r="F9" s="360">
        <v>6452764</v>
      </c>
      <c r="G9" s="360">
        <v>6569112</v>
      </c>
      <c r="H9" s="360">
        <v>6700991</v>
      </c>
    </row>
    <row r="10" spans="1:8" x14ac:dyDescent="0.2">
      <c r="A10" s="359" t="s">
        <v>640</v>
      </c>
      <c r="B10" s="359">
        <f t="shared" si="0"/>
        <v>5</v>
      </c>
      <c r="C10" s="359" t="s">
        <v>641</v>
      </c>
      <c r="D10" s="360">
        <v>5920416</v>
      </c>
      <c r="E10" s="360">
        <v>5920456</v>
      </c>
      <c r="F10" s="360">
        <v>5948300</v>
      </c>
      <c r="G10" s="360">
        <v>6051850</v>
      </c>
      <c r="H10" s="360">
        <v>6177035</v>
      </c>
    </row>
    <row r="11" spans="1:8" x14ac:dyDescent="0.2">
      <c r="A11" s="359" t="s">
        <v>878</v>
      </c>
      <c r="B11" s="359">
        <f t="shared" si="0"/>
        <v>6</v>
      </c>
      <c r="C11" s="359" t="s">
        <v>879</v>
      </c>
      <c r="D11" s="360">
        <v>5965343</v>
      </c>
      <c r="E11" s="360">
        <v>5965341</v>
      </c>
      <c r="F11" s="360">
        <v>5972025</v>
      </c>
      <c r="G11" s="360">
        <v>5997474</v>
      </c>
      <c r="H11" s="360">
        <v>6018800</v>
      </c>
    </row>
    <row r="12" spans="1:8" x14ac:dyDescent="0.2">
      <c r="A12" s="359" t="s">
        <v>1084</v>
      </c>
      <c r="B12" s="359">
        <f t="shared" si="0"/>
        <v>7</v>
      </c>
      <c r="C12" s="359" t="s">
        <v>1085</v>
      </c>
      <c r="D12" s="360">
        <v>5636232</v>
      </c>
      <c r="E12" s="360">
        <v>5636232</v>
      </c>
      <c r="F12" s="360">
        <v>5665604</v>
      </c>
      <c r="G12" s="360">
        <v>5771213</v>
      </c>
      <c r="H12" s="360">
        <v>5860342</v>
      </c>
    </row>
    <row r="13" spans="1:8" x14ac:dyDescent="0.2">
      <c r="A13" s="359" t="s">
        <v>776</v>
      </c>
      <c r="B13" s="359">
        <f t="shared" si="0"/>
        <v>8</v>
      </c>
      <c r="C13" s="359" t="s">
        <v>777</v>
      </c>
      <c r="D13" s="360">
        <v>5564635</v>
      </c>
      <c r="E13" s="360">
        <v>5564657</v>
      </c>
      <c r="F13" s="360">
        <v>5581600</v>
      </c>
      <c r="G13" s="360">
        <v>5687908</v>
      </c>
      <c r="H13" s="360">
        <v>5762717</v>
      </c>
    </row>
    <row r="14" spans="1:8" x14ac:dyDescent="0.2">
      <c r="A14" s="359" t="s">
        <v>336</v>
      </c>
      <c r="B14" s="359">
        <f t="shared" si="0"/>
        <v>9</v>
      </c>
      <c r="C14" s="359" t="s">
        <v>337</v>
      </c>
      <c r="D14" s="360">
        <v>5286728</v>
      </c>
      <c r="E14" s="360">
        <v>5286732</v>
      </c>
      <c r="F14" s="360">
        <v>5304665</v>
      </c>
      <c r="G14" s="360">
        <v>5374678</v>
      </c>
      <c r="H14" s="360">
        <v>5457831</v>
      </c>
    </row>
    <row r="15" spans="1:8" x14ac:dyDescent="0.2">
      <c r="A15" s="359" t="s">
        <v>386</v>
      </c>
      <c r="B15" s="359">
        <f t="shared" si="0"/>
        <v>10</v>
      </c>
      <c r="C15" s="359" t="s">
        <v>387</v>
      </c>
      <c r="D15" s="360">
        <v>4552402</v>
      </c>
      <c r="E15" s="360">
        <v>4552402</v>
      </c>
      <c r="F15" s="360">
        <v>4563863</v>
      </c>
      <c r="G15" s="360">
        <v>4603344</v>
      </c>
      <c r="H15" s="360">
        <v>4640802</v>
      </c>
    </row>
    <row r="16" spans="1:8" x14ac:dyDescent="0.2">
      <c r="A16" s="359" t="s">
        <v>968</v>
      </c>
      <c r="B16" s="359">
        <f t="shared" si="0"/>
        <v>11</v>
      </c>
      <c r="C16" s="359" t="s">
        <v>969</v>
      </c>
      <c r="D16" s="360">
        <v>4335391</v>
      </c>
      <c r="E16" s="360">
        <v>4335391</v>
      </c>
      <c r="F16" s="360">
        <v>4345156</v>
      </c>
      <c r="G16" s="360">
        <v>4396918</v>
      </c>
      <c r="H16" s="360">
        <v>4455560</v>
      </c>
    </row>
    <row r="17" spans="1:8" x14ac:dyDescent="0.2">
      <c r="A17" s="359" t="s">
        <v>928</v>
      </c>
      <c r="B17" s="359">
        <f t="shared" si="0"/>
        <v>12</v>
      </c>
      <c r="C17" s="359" t="s">
        <v>929</v>
      </c>
      <c r="D17" s="360">
        <v>4224851</v>
      </c>
      <c r="E17" s="360">
        <v>4224851</v>
      </c>
      <c r="F17" s="360">
        <v>4243987</v>
      </c>
      <c r="G17" s="360">
        <v>4301841</v>
      </c>
      <c r="H17" s="360">
        <v>4350096</v>
      </c>
    </row>
    <row r="18" spans="1:8" x14ac:dyDescent="0.2">
      <c r="A18" s="359" t="s">
        <v>888</v>
      </c>
      <c r="B18" s="359">
        <f t="shared" si="0"/>
        <v>13</v>
      </c>
      <c r="C18" s="359" t="s">
        <v>889</v>
      </c>
      <c r="D18" s="360">
        <v>4192887</v>
      </c>
      <c r="E18" s="360">
        <v>4192887</v>
      </c>
      <c r="F18" s="360">
        <v>4209375</v>
      </c>
      <c r="G18" s="360">
        <v>4252078</v>
      </c>
      <c r="H18" s="360">
        <v>4329534</v>
      </c>
    </row>
    <row r="19" spans="1:8" x14ac:dyDescent="0.2">
      <c r="A19" s="359" t="s">
        <v>514</v>
      </c>
      <c r="B19" s="359">
        <f t="shared" si="0"/>
        <v>14</v>
      </c>
      <c r="C19" s="359" t="s">
        <v>515</v>
      </c>
      <c r="D19" s="360">
        <v>4296250</v>
      </c>
      <c r="E19" s="360">
        <v>4296247</v>
      </c>
      <c r="F19" s="360">
        <v>4291828</v>
      </c>
      <c r="G19" s="360">
        <v>4287966</v>
      </c>
      <c r="H19" s="360">
        <v>4292060</v>
      </c>
    </row>
    <row r="20" spans="1:8" x14ac:dyDescent="0.2">
      <c r="A20" s="359" t="s">
        <v>992</v>
      </c>
      <c r="B20" s="359">
        <f t="shared" si="0"/>
        <v>15</v>
      </c>
      <c r="C20" s="359" t="s">
        <v>993</v>
      </c>
      <c r="D20" s="360">
        <v>3439809</v>
      </c>
      <c r="E20" s="360">
        <v>3439809</v>
      </c>
      <c r="F20" s="360">
        <v>3448919</v>
      </c>
      <c r="G20" s="360">
        <v>3497819</v>
      </c>
      <c r="H20" s="360">
        <v>3552157</v>
      </c>
    </row>
    <row r="21" spans="1:8" x14ac:dyDescent="0.2">
      <c r="A21" s="359" t="s">
        <v>792</v>
      </c>
      <c r="B21" s="359">
        <f t="shared" si="0"/>
        <v>16</v>
      </c>
      <c r="C21" s="359" t="s">
        <v>793</v>
      </c>
      <c r="D21" s="360">
        <v>3348859</v>
      </c>
      <c r="E21" s="360">
        <v>3348859</v>
      </c>
      <c r="F21" s="360">
        <v>3355674</v>
      </c>
      <c r="G21" s="360">
        <v>3389049</v>
      </c>
      <c r="H21" s="360">
        <v>3422264</v>
      </c>
    </row>
    <row r="22" spans="1:8" x14ac:dyDescent="0.2">
      <c r="A22" s="359" t="s">
        <v>966</v>
      </c>
      <c r="B22" s="359">
        <f t="shared" si="0"/>
        <v>17</v>
      </c>
      <c r="C22" s="359" t="s">
        <v>967</v>
      </c>
      <c r="D22" s="360">
        <v>3095313</v>
      </c>
      <c r="E22" s="360">
        <v>3095308</v>
      </c>
      <c r="F22" s="360">
        <v>3103933</v>
      </c>
      <c r="G22" s="360">
        <v>3138183</v>
      </c>
      <c r="H22" s="360">
        <v>3177063</v>
      </c>
    </row>
    <row r="23" spans="1:8" x14ac:dyDescent="0.2">
      <c r="A23" s="359" t="s">
        <v>1040</v>
      </c>
      <c r="B23" s="359">
        <f t="shared" si="0"/>
        <v>18</v>
      </c>
      <c r="C23" s="359" t="s">
        <v>1041</v>
      </c>
      <c r="D23" s="360">
        <v>2783243</v>
      </c>
      <c r="E23" s="360">
        <v>2783243</v>
      </c>
      <c r="F23" s="360">
        <v>2788833</v>
      </c>
      <c r="G23" s="360">
        <v>2826438</v>
      </c>
      <c r="H23" s="360">
        <v>2842878</v>
      </c>
    </row>
    <row r="24" spans="1:8" x14ac:dyDescent="0.2">
      <c r="A24" s="359" t="s">
        <v>952</v>
      </c>
      <c r="B24" s="359">
        <f t="shared" si="0"/>
        <v>19</v>
      </c>
      <c r="C24" s="359" t="s">
        <v>953</v>
      </c>
      <c r="D24" s="360">
        <v>2787701</v>
      </c>
      <c r="E24" s="360">
        <v>2787695</v>
      </c>
      <c r="F24" s="360">
        <v>2789873</v>
      </c>
      <c r="G24" s="360">
        <v>2793375</v>
      </c>
      <c r="H24" s="360">
        <v>2795794</v>
      </c>
    </row>
    <row r="25" spans="1:8" x14ac:dyDescent="0.2">
      <c r="A25" s="359" t="s">
        <v>348</v>
      </c>
      <c r="B25" s="359">
        <f t="shared" si="0"/>
        <v>20</v>
      </c>
      <c r="C25" s="359" t="s">
        <v>349</v>
      </c>
      <c r="D25" s="360">
        <v>2710489</v>
      </c>
      <c r="E25" s="360">
        <v>2710489</v>
      </c>
      <c r="F25" s="360">
        <v>2715586</v>
      </c>
      <c r="G25" s="360">
        <v>2733678</v>
      </c>
      <c r="H25" s="360">
        <v>2753149</v>
      </c>
    </row>
    <row r="26" spans="1:8" x14ac:dyDescent="0.2">
      <c r="A26" s="359" t="s">
        <v>510</v>
      </c>
      <c r="B26" s="359">
        <f t="shared" si="0"/>
        <v>21</v>
      </c>
      <c r="C26" s="359" t="s">
        <v>511</v>
      </c>
      <c r="D26" s="360">
        <v>2543482</v>
      </c>
      <c r="E26" s="360">
        <v>2543478</v>
      </c>
      <c r="F26" s="360">
        <v>2554118</v>
      </c>
      <c r="G26" s="360">
        <v>2598496</v>
      </c>
      <c r="H26" s="360">
        <v>2645209</v>
      </c>
    </row>
    <row r="27" spans="1:8" x14ac:dyDescent="0.2">
      <c r="A27" s="359" t="s">
        <v>892</v>
      </c>
      <c r="B27" s="359">
        <f t="shared" si="0"/>
        <v>22</v>
      </c>
      <c r="C27" s="359" t="s">
        <v>893</v>
      </c>
      <c r="D27" s="360">
        <v>2356285</v>
      </c>
      <c r="E27" s="360">
        <v>2356285</v>
      </c>
      <c r="F27" s="360">
        <v>2356827</v>
      </c>
      <c r="G27" s="360">
        <v>2360114</v>
      </c>
      <c r="H27" s="360">
        <v>2360733</v>
      </c>
    </row>
    <row r="28" spans="1:8" x14ac:dyDescent="0.2">
      <c r="A28" s="359" t="s">
        <v>436</v>
      </c>
      <c r="B28" s="359">
        <f t="shared" si="0"/>
        <v>23</v>
      </c>
      <c r="C28" s="359" t="s">
        <v>437</v>
      </c>
      <c r="D28" s="360">
        <v>2217012</v>
      </c>
      <c r="E28" s="360">
        <v>2217035</v>
      </c>
      <c r="F28" s="360">
        <v>2223685</v>
      </c>
      <c r="G28" s="360">
        <v>2257134</v>
      </c>
      <c r="H28" s="360">
        <v>2296569</v>
      </c>
    </row>
    <row r="29" spans="1:8" x14ac:dyDescent="0.2">
      <c r="A29" s="359" t="s">
        <v>900</v>
      </c>
      <c r="B29" s="359">
        <f t="shared" si="0"/>
        <v>24</v>
      </c>
      <c r="C29" s="359" t="s">
        <v>901</v>
      </c>
      <c r="D29" s="360">
        <v>2226009</v>
      </c>
      <c r="E29" s="360">
        <v>2226009</v>
      </c>
      <c r="F29" s="360">
        <v>2232717</v>
      </c>
      <c r="G29" s="360">
        <v>2260928</v>
      </c>
      <c r="H29" s="360">
        <v>2289800</v>
      </c>
    </row>
    <row r="30" spans="1:8" x14ac:dyDescent="0.2">
      <c r="A30" s="359" t="s">
        <v>964</v>
      </c>
      <c r="B30" s="359">
        <f t="shared" si="0"/>
        <v>25</v>
      </c>
      <c r="C30" s="359" t="s">
        <v>965</v>
      </c>
      <c r="D30" s="360">
        <v>2142508</v>
      </c>
      <c r="E30" s="360">
        <v>2142508</v>
      </c>
      <c r="F30" s="360">
        <v>2153140</v>
      </c>
      <c r="G30" s="360">
        <v>2191670</v>
      </c>
      <c r="H30" s="360">
        <v>2234003</v>
      </c>
    </row>
    <row r="31" spans="1:8" x14ac:dyDescent="0.2">
      <c r="A31" s="359" t="s">
        <v>860</v>
      </c>
      <c r="B31" s="359">
        <f t="shared" si="0"/>
        <v>26</v>
      </c>
      <c r="C31" s="359" t="s">
        <v>861</v>
      </c>
      <c r="D31" s="360">
        <v>2134411</v>
      </c>
      <c r="E31" s="360">
        <v>2134411</v>
      </c>
      <c r="F31" s="360">
        <v>2139583</v>
      </c>
      <c r="G31" s="360">
        <v>2175004</v>
      </c>
      <c r="H31" s="360">
        <v>2223674</v>
      </c>
    </row>
    <row r="32" spans="1:8" x14ac:dyDescent="0.2">
      <c r="A32" s="359" t="s">
        <v>942</v>
      </c>
      <c r="B32" s="359">
        <f t="shared" si="0"/>
        <v>27</v>
      </c>
      <c r="C32" s="359" t="s">
        <v>943</v>
      </c>
      <c r="D32" s="360">
        <v>2149127</v>
      </c>
      <c r="E32" s="360">
        <v>2149127</v>
      </c>
      <c r="F32" s="360">
        <v>2154776</v>
      </c>
      <c r="G32" s="360">
        <v>2176452</v>
      </c>
      <c r="H32" s="360">
        <v>2196482</v>
      </c>
    </row>
    <row r="33" spans="1:11" x14ac:dyDescent="0.2">
      <c r="A33" s="359" t="s">
        <v>456</v>
      </c>
      <c r="B33" s="359">
        <f t="shared" si="0"/>
        <v>28</v>
      </c>
      <c r="C33" s="359" t="s">
        <v>457</v>
      </c>
      <c r="D33" s="360">
        <v>2114580</v>
      </c>
      <c r="E33" s="360">
        <v>2114580</v>
      </c>
      <c r="F33" s="360">
        <v>2116811</v>
      </c>
      <c r="G33" s="360">
        <v>2122330</v>
      </c>
      <c r="H33" s="360">
        <v>2128603</v>
      </c>
    </row>
    <row r="34" spans="1:11" x14ac:dyDescent="0.2">
      <c r="A34" s="359" t="s">
        <v>462</v>
      </c>
      <c r="B34" s="359">
        <f t="shared" si="0"/>
        <v>29</v>
      </c>
      <c r="C34" s="359" t="s">
        <v>463</v>
      </c>
      <c r="D34" s="360">
        <v>2077240</v>
      </c>
      <c r="E34" s="360">
        <v>2077240</v>
      </c>
      <c r="F34" s="360">
        <v>2076016</v>
      </c>
      <c r="G34" s="360">
        <v>2068397</v>
      </c>
      <c r="H34" s="360">
        <v>2063535</v>
      </c>
      <c r="I34" s="366">
        <f>G34/F34-1</f>
        <v>-3.6700102504026999E-3</v>
      </c>
      <c r="J34" s="366">
        <f t="shared" ref="J34" si="1">H34/G34-1</f>
        <v>-2.3506125758255836E-3</v>
      </c>
      <c r="K34" s="366"/>
    </row>
    <row r="35" spans="1:11" x14ac:dyDescent="0.2">
      <c r="A35" s="359" t="s">
        <v>682</v>
      </c>
      <c r="B35" s="359">
        <f t="shared" si="0"/>
        <v>30</v>
      </c>
      <c r="C35" s="359" t="s">
        <v>683</v>
      </c>
      <c r="D35" s="360">
        <v>2009342</v>
      </c>
      <c r="E35" s="360">
        <v>2009338</v>
      </c>
      <c r="F35" s="360">
        <v>2013864</v>
      </c>
      <c r="G35" s="360">
        <v>2024937</v>
      </c>
      <c r="H35" s="360">
        <v>2038724</v>
      </c>
    </row>
    <row r="36" spans="1:11" x14ac:dyDescent="0.2">
      <c r="A36" s="359" t="s">
        <v>716</v>
      </c>
      <c r="B36" s="359">
        <f t="shared" si="0"/>
        <v>31</v>
      </c>
      <c r="C36" s="359" t="s">
        <v>717</v>
      </c>
      <c r="D36" s="360">
        <v>1951269</v>
      </c>
      <c r="E36" s="360">
        <v>1951269</v>
      </c>
      <c r="F36" s="360">
        <v>1953422</v>
      </c>
      <c r="G36" s="360">
        <v>1967926</v>
      </c>
      <c r="H36" s="360">
        <v>2000759</v>
      </c>
    </row>
    <row r="37" spans="1:11" x14ac:dyDescent="0.2">
      <c r="A37" s="359" t="s">
        <v>478</v>
      </c>
      <c r="B37" s="359">
        <f t="shared" si="0"/>
        <v>32</v>
      </c>
      <c r="C37" s="359" t="s">
        <v>479</v>
      </c>
      <c r="D37" s="360">
        <v>1901974</v>
      </c>
      <c r="E37" s="360">
        <v>1901965</v>
      </c>
      <c r="F37" s="360">
        <v>1906295</v>
      </c>
      <c r="G37" s="360">
        <v>1925137</v>
      </c>
      <c r="H37" s="360">
        <v>1944002</v>
      </c>
    </row>
    <row r="38" spans="1:11" x14ac:dyDescent="0.2">
      <c r="A38" s="359" t="s">
        <v>648</v>
      </c>
      <c r="B38" s="359">
        <f t="shared" si="0"/>
        <v>33</v>
      </c>
      <c r="C38" s="359" t="s">
        <v>649</v>
      </c>
      <c r="D38" s="360">
        <v>1887877</v>
      </c>
      <c r="E38" s="360">
        <v>1887877</v>
      </c>
      <c r="F38" s="360">
        <v>1892368</v>
      </c>
      <c r="G38" s="360">
        <v>1910053</v>
      </c>
      <c r="H38" s="360">
        <v>1928982</v>
      </c>
    </row>
    <row r="39" spans="1:11" x14ac:dyDescent="0.2">
      <c r="A39" s="359" t="s">
        <v>976</v>
      </c>
      <c r="B39" s="359">
        <f t="shared" si="0"/>
        <v>34</v>
      </c>
      <c r="C39" s="359" t="s">
        <v>977</v>
      </c>
      <c r="D39" s="360">
        <v>1836911</v>
      </c>
      <c r="E39" s="360">
        <v>1836911</v>
      </c>
      <c r="F39" s="360">
        <v>1842123</v>
      </c>
      <c r="G39" s="360">
        <v>1867984</v>
      </c>
      <c r="H39" s="360">
        <v>1894388</v>
      </c>
    </row>
    <row r="40" spans="1:11" x14ac:dyDescent="0.2">
      <c r="A40" s="359" t="s">
        <v>344</v>
      </c>
      <c r="B40" s="359">
        <f t="shared" si="0"/>
        <v>35</v>
      </c>
      <c r="C40" s="359" t="s">
        <v>345</v>
      </c>
      <c r="D40" s="360">
        <v>1716289</v>
      </c>
      <c r="E40" s="360">
        <v>1716286</v>
      </c>
      <c r="F40" s="360">
        <v>1727661</v>
      </c>
      <c r="G40" s="360">
        <v>1780708</v>
      </c>
      <c r="H40" s="360">
        <v>1834303</v>
      </c>
    </row>
    <row r="41" spans="1:11" x14ac:dyDescent="0.2">
      <c r="A41" s="359" t="s">
        <v>822</v>
      </c>
      <c r="B41" s="359">
        <f t="shared" si="0"/>
        <v>36</v>
      </c>
      <c r="C41" s="359" t="s">
        <v>823</v>
      </c>
      <c r="D41" s="360">
        <v>1670890</v>
      </c>
      <c r="E41" s="360">
        <v>1670890</v>
      </c>
      <c r="F41" s="360">
        <v>1675886</v>
      </c>
      <c r="G41" s="360">
        <v>1698348</v>
      </c>
      <c r="H41" s="360">
        <v>1726693</v>
      </c>
    </row>
    <row r="42" spans="1:11" x14ac:dyDescent="0.2">
      <c r="A42" s="359" t="s">
        <v>1074</v>
      </c>
      <c r="B42" s="359">
        <f t="shared" si="0"/>
        <v>37</v>
      </c>
      <c r="C42" s="359" t="s">
        <v>1075</v>
      </c>
      <c r="D42" s="360">
        <v>1676822</v>
      </c>
      <c r="E42" s="360">
        <v>1676820</v>
      </c>
      <c r="F42" s="360">
        <v>1680394</v>
      </c>
      <c r="G42" s="360">
        <v>1686977</v>
      </c>
      <c r="H42" s="360">
        <v>1699925</v>
      </c>
    </row>
    <row r="43" spans="1:11" x14ac:dyDescent="0.2">
      <c r="A43" s="359" t="s">
        <v>906</v>
      </c>
      <c r="B43" s="359">
        <f t="shared" si="0"/>
        <v>38</v>
      </c>
      <c r="C43" s="359" t="s">
        <v>907</v>
      </c>
      <c r="D43" s="360">
        <v>1600852</v>
      </c>
      <c r="E43" s="360">
        <v>1600852</v>
      </c>
      <c r="F43" s="360">
        <v>1601992</v>
      </c>
      <c r="G43" s="360">
        <v>1600258</v>
      </c>
      <c r="H43" s="360">
        <v>1601374</v>
      </c>
    </row>
    <row r="44" spans="1:11" x14ac:dyDescent="0.2">
      <c r="A44" s="359" t="s">
        <v>790</v>
      </c>
      <c r="B44" s="359">
        <f t="shared" si="0"/>
        <v>39</v>
      </c>
      <c r="C44" s="359" t="s">
        <v>791</v>
      </c>
      <c r="D44" s="360">
        <v>1555908</v>
      </c>
      <c r="E44" s="360">
        <v>1555908</v>
      </c>
      <c r="F44" s="360">
        <v>1556711</v>
      </c>
      <c r="G44" s="360">
        <v>1561428</v>
      </c>
      <c r="H44" s="360">
        <v>1566981</v>
      </c>
    </row>
    <row r="45" spans="1:11" x14ac:dyDescent="0.2">
      <c r="A45" s="359" t="s">
        <v>660</v>
      </c>
      <c r="B45" s="359">
        <f t="shared" si="0"/>
        <v>40</v>
      </c>
      <c r="C45" s="359" t="s">
        <v>661</v>
      </c>
      <c r="D45" s="360">
        <v>1345596</v>
      </c>
      <c r="E45" s="360">
        <v>1345596</v>
      </c>
      <c r="F45" s="360">
        <v>1349103</v>
      </c>
      <c r="G45" s="360">
        <v>1360998</v>
      </c>
      <c r="H45" s="360">
        <v>1377850</v>
      </c>
    </row>
    <row r="46" spans="1:11" x14ac:dyDescent="0.2">
      <c r="A46" s="359" t="s">
        <v>772</v>
      </c>
      <c r="B46" s="359">
        <f t="shared" si="0"/>
        <v>41</v>
      </c>
      <c r="C46" s="359" t="s">
        <v>773</v>
      </c>
      <c r="D46" s="360">
        <v>1324829</v>
      </c>
      <c r="E46" s="360">
        <v>1324829</v>
      </c>
      <c r="F46" s="360">
        <v>1326570</v>
      </c>
      <c r="G46" s="360">
        <v>1333390</v>
      </c>
      <c r="H46" s="360">
        <v>1341690</v>
      </c>
    </row>
    <row r="47" spans="1:11" x14ac:dyDescent="0.2">
      <c r="A47" s="359" t="s">
        <v>854</v>
      </c>
      <c r="B47" s="359">
        <f t="shared" si="0"/>
        <v>42</v>
      </c>
      <c r="C47" s="359" t="s">
        <v>855</v>
      </c>
      <c r="D47" s="360">
        <v>1252987</v>
      </c>
      <c r="E47" s="360">
        <v>1252992</v>
      </c>
      <c r="F47" s="360">
        <v>1257927</v>
      </c>
      <c r="G47" s="360">
        <v>1275821</v>
      </c>
      <c r="H47" s="360">
        <v>1296565</v>
      </c>
    </row>
    <row r="48" spans="1:11" x14ac:dyDescent="0.2">
      <c r="A48" s="359" t="s">
        <v>748</v>
      </c>
      <c r="B48" s="359">
        <f t="shared" si="0"/>
        <v>43</v>
      </c>
      <c r="C48" s="359" t="s">
        <v>749</v>
      </c>
      <c r="D48" s="360">
        <v>1235708</v>
      </c>
      <c r="E48" s="360">
        <v>1235708</v>
      </c>
      <c r="F48" s="360">
        <v>1237847</v>
      </c>
      <c r="G48" s="360">
        <v>1244792</v>
      </c>
      <c r="H48" s="360">
        <v>1251351</v>
      </c>
    </row>
    <row r="49" spans="1:8" x14ac:dyDescent="0.2">
      <c r="A49" s="359" t="s">
        <v>926</v>
      </c>
      <c r="B49" s="359">
        <f t="shared" si="0"/>
        <v>44</v>
      </c>
      <c r="C49" s="359" t="s">
        <v>927</v>
      </c>
      <c r="D49" s="360">
        <v>1208101</v>
      </c>
      <c r="E49" s="360">
        <v>1208101</v>
      </c>
      <c r="F49" s="360">
        <v>1210180</v>
      </c>
      <c r="G49" s="360">
        <v>1219022</v>
      </c>
      <c r="H49" s="360">
        <v>1231980</v>
      </c>
    </row>
    <row r="50" spans="1:8" x14ac:dyDescent="0.2">
      <c r="A50" s="359" t="s">
        <v>828</v>
      </c>
      <c r="B50" s="359">
        <f t="shared" si="0"/>
        <v>45</v>
      </c>
      <c r="C50" s="359" t="s">
        <v>829</v>
      </c>
      <c r="D50" s="360">
        <v>1189866</v>
      </c>
      <c r="E50" s="360">
        <v>1189863</v>
      </c>
      <c r="F50" s="360">
        <v>1195466</v>
      </c>
      <c r="G50" s="360">
        <v>1213488</v>
      </c>
      <c r="H50" s="360">
        <v>1227096</v>
      </c>
    </row>
    <row r="51" spans="1:8" x14ac:dyDescent="0.2">
      <c r="A51" s="359" t="s">
        <v>624</v>
      </c>
      <c r="B51" s="359">
        <f t="shared" si="0"/>
        <v>46</v>
      </c>
      <c r="C51" s="359" t="s">
        <v>625</v>
      </c>
      <c r="D51" s="360">
        <v>1212381</v>
      </c>
      <c r="E51" s="360">
        <v>1212384</v>
      </c>
      <c r="F51" s="360">
        <v>1212839</v>
      </c>
      <c r="G51" s="360">
        <v>1215119</v>
      </c>
      <c r="H51" s="360">
        <v>1214400</v>
      </c>
    </row>
    <row r="52" spans="1:8" x14ac:dyDescent="0.2">
      <c r="A52" s="359" t="s">
        <v>916</v>
      </c>
      <c r="B52" s="359">
        <f t="shared" si="0"/>
        <v>47</v>
      </c>
      <c r="C52" s="359" t="s">
        <v>917</v>
      </c>
      <c r="D52" s="360">
        <v>1130490</v>
      </c>
      <c r="E52" s="360">
        <v>1130490</v>
      </c>
      <c r="F52" s="360">
        <v>1137352</v>
      </c>
      <c r="G52" s="360">
        <v>1162688</v>
      </c>
      <c r="H52" s="360">
        <v>1188564</v>
      </c>
    </row>
    <row r="53" spans="1:8" x14ac:dyDescent="0.2">
      <c r="A53" s="359" t="s">
        <v>372</v>
      </c>
      <c r="B53" s="359">
        <f t="shared" si="0"/>
        <v>48</v>
      </c>
      <c r="C53" s="359" t="s">
        <v>373</v>
      </c>
      <c r="D53" s="360">
        <v>1128047</v>
      </c>
      <c r="E53" s="360">
        <v>1128050</v>
      </c>
      <c r="F53" s="360">
        <v>1129038</v>
      </c>
      <c r="G53" s="360">
        <v>1132403</v>
      </c>
      <c r="H53" s="360">
        <v>1136650</v>
      </c>
    </row>
    <row r="54" spans="1:8" x14ac:dyDescent="0.2">
      <c r="A54" s="359" t="s">
        <v>406</v>
      </c>
      <c r="B54" s="359">
        <f t="shared" si="0"/>
        <v>49</v>
      </c>
      <c r="C54" s="359" t="s">
        <v>407</v>
      </c>
      <c r="D54" s="360">
        <v>1135509</v>
      </c>
      <c r="E54" s="360">
        <v>1135511</v>
      </c>
      <c r="F54" s="360">
        <v>1135610</v>
      </c>
      <c r="G54" s="360">
        <v>1135494</v>
      </c>
      <c r="H54" s="360">
        <v>1134210</v>
      </c>
    </row>
    <row r="55" spans="1:8" x14ac:dyDescent="0.2">
      <c r="A55" s="359" t="s">
        <v>960</v>
      </c>
      <c r="B55" s="359">
        <f t="shared" si="0"/>
        <v>50</v>
      </c>
      <c r="C55" s="359" t="s">
        <v>961</v>
      </c>
      <c r="D55" s="360">
        <v>1087873</v>
      </c>
      <c r="E55" s="360">
        <v>1087873</v>
      </c>
      <c r="F55" s="360">
        <v>1091718</v>
      </c>
      <c r="G55" s="360">
        <v>1107018</v>
      </c>
      <c r="H55" s="360">
        <v>1123712</v>
      </c>
    </row>
    <row r="56" spans="1:8" x14ac:dyDescent="0.2">
      <c r="A56" s="359" t="s">
        <v>934</v>
      </c>
      <c r="B56" s="359">
        <f t="shared" si="0"/>
        <v>51</v>
      </c>
      <c r="C56" s="359" t="s">
        <v>935</v>
      </c>
      <c r="D56" s="360">
        <v>1079671</v>
      </c>
      <c r="E56" s="360">
        <v>1079671</v>
      </c>
      <c r="F56" s="360">
        <v>1079913</v>
      </c>
      <c r="G56" s="360">
        <v>1082120</v>
      </c>
      <c r="H56" s="360">
        <v>1082284</v>
      </c>
    </row>
    <row r="57" spans="1:8" x14ac:dyDescent="0.2">
      <c r="A57" s="359" t="s">
        <v>596</v>
      </c>
      <c r="B57" s="359">
        <f t="shared" si="0"/>
        <v>52</v>
      </c>
      <c r="C57" s="359" t="s">
        <v>597</v>
      </c>
      <c r="D57" s="360">
        <v>988938</v>
      </c>
      <c r="E57" s="360">
        <v>988938</v>
      </c>
      <c r="F57" s="360">
        <v>989481</v>
      </c>
      <c r="G57" s="360">
        <v>996454</v>
      </c>
      <c r="H57" s="360">
        <v>1005648</v>
      </c>
    </row>
    <row r="58" spans="1:8" x14ac:dyDescent="0.2">
      <c r="A58" s="359" t="s">
        <v>1054</v>
      </c>
      <c r="B58" s="359">
        <f t="shared" si="0"/>
        <v>53</v>
      </c>
      <c r="C58" s="359" t="s">
        <v>1055</v>
      </c>
      <c r="D58" s="360">
        <v>980263</v>
      </c>
      <c r="E58" s="360">
        <v>980263</v>
      </c>
      <c r="F58" s="360">
        <v>981915</v>
      </c>
      <c r="G58" s="360">
        <v>987573</v>
      </c>
      <c r="H58" s="360">
        <v>992394</v>
      </c>
    </row>
    <row r="59" spans="1:8" x14ac:dyDescent="0.2">
      <c r="A59" s="359" t="s">
        <v>1062</v>
      </c>
      <c r="B59" s="359">
        <f t="shared" si="0"/>
        <v>54</v>
      </c>
      <c r="C59" s="359" t="s">
        <v>1063</v>
      </c>
      <c r="D59" s="360">
        <v>953207</v>
      </c>
      <c r="E59" s="360">
        <v>953207</v>
      </c>
      <c r="F59" s="360">
        <v>956481</v>
      </c>
      <c r="G59" s="360">
        <v>966363</v>
      </c>
      <c r="H59" s="360">
        <v>976372</v>
      </c>
    </row>
    <row r="60" spans="1:8" x14ac:dyDescent="0.2">
      <c r="A60" s="359" t="s">
        <v>1056</v>
      </c>
      <c r="B60" s="359">
        <f t="shared" si="0"/>
        <v>55</v>
      </c>
      <c r="C60" s="359" t="s">
        <v>1057</v>
      </c>
      <c r="D60" s="360">
        <v>937478</v>
      </c>
      <c r="E60" s="360">
        <v>937480</v>
      </c>
      <c r="F60" s="360">
        <v>939968</v>
      </c>
      <c r="G60" s="360">
        <v>945386</v>
      </c>
      <c r="H60" s="360">
        <v>951880</v>
      </c>
    </row>
    <row r="61" spans="1:8" x14ac:dyDescent="0.2">
      <c r="A61" s="359" t="s">
        <v>576</v>
      </c>
      <c r="B61" s="359">
        <f t="shared" si="0"/>
        <v>56</v>
      </c>
      <c r="C61" s="359" t="s">
        <v>577</v>
      </c>
      <c r="D61" s="360">
        <v>930450</v>
      </c>
      <c r="E61" s="360">
        <v>930450</v>
      </c>
      <c r="F61" s="360">
        <v>932696</v>
      </c>
      <c r="G61" s="360">
        <v>940887</v>
      </c>
      <c r="H61" s="360">
        <v>947895</v>
      </c>
    </row>
    <row r="62" spans="1:8" x14ac:dyDescent="0.2">
      <c r="A62" s="359" t="s">
        <v>400</v>
      </c>
      <c r="B62" s="359">
        <f t="shared" si="0"/>
        <v>57</v>
      </c>
      <c r="C62" s="359" t="s">
        <v>401</v>
      </c>
      <c r="D62" s="360">
        <v>916829</v>
      </c>
      <c r="E62" s="360">
        <v>916829</v>
      </c>
      <c r="F62" s="360">
        <v>918814</v>
      </c>
      <c r="G62" s="360">
        <v>927567</v>
      </c>
      <c r="H62" s="360">
        <v>933835</v>
      </c>
    </row>
    <row r="63" spans="1:8" x14ac:dyDescent="0.2">
      <c r="A63" s="359" t="s">
        <v>1114</v>
      </c>
      <c r="B63" s="359">
        <f t="shared" si="0"/>
        <v>58</v>
      </c>
      <c r="C63" s="359" t="s">
        <v>1115</v>
      </c>
      <c r="D63" s="360">
        <v>916980</v>
      </c>
      <c r="E63" s="360">
        <v>916980</v>
      </c>
      <c r="F63" s="360">
        <v>918766</v>
      </c>
      <c r="G63" s="360">
        <v>921990</v>
      </c>
      <c r="H63" s="360">
        <v>923762</v>
      </c>
    </row>
    <row r="64" spans="1:8" x14ac:dyDescent="0.2">
      <c r="A64" s="359" t="s">
        <v>312</v>
      </c>
      <c r="B64" s="359">
        <f t="shared" si="0"/>
        <v>59</v>
      </c>
      <c r="C64" s="359" t="s">
        <v>313</v>
      </c>
      <c r="D64" s="360">
        <v>887077</v>
      </c>
      <c r="E64" s="360">
        <v>887079</v>
      </c>
      <c r="F64" s="360">
        <v>889568</v>
      </c>
      <c r="G64" s="360">
        <v>897320</v>
      </c>
      <c r="H64" s="360">
        <v>901700</v>
      </c>
    </row>
    <row r="65" spans="1:10" x14ac:dyDescent="0.2">
      <c r="A65" s="359" t="s">
        <v>858</v>
      </c>
      <c r="B65" s="359">
        <f t="shared" si="0"/>
        <v>60</v>
      </c>
      <c r="C65" s="359" t="s">
        <v>859</v>
      </c>
      <c r="D65" s="360">
        <v>865350</v>
      </c>
      <c r="E65" s="360">
        <v>865350</v>
      </c>
      <c r="F65" s="360">
        <v>868116</v>
      </c>
      <c r="G65" s="360">
        <v>877171</v>
      </c>
      <c r="H65" s="360">
        <v>885624</v>
      </c>
    </row>
    <row r="66" spans="1:10" x14ac:dyDescent="0.2">
      <c r="A66" s="359" t="s">
        <v>310</v>
      </c>
      <c r="B66" s="359">
        <f t="shared" si="0"/>
        <v>61</v>
      </c>
      <c r="C66" s="359" t="s">
        <v>311</v>
      </c>
      <c r="D66" s="360">
        <v>870716</v>
      </c>
      <c r="E66" s="360">
        <v>870718</v>
      </c>
      <c r="F66" s="360">
        <v>871081</v>
      </c>
      <c r="G66" s="360">
        <v>873076</v>
      </c>
      <c r="H66" s="360">
        <v>874646</v>
      </c>
    </row>
    <row r="67" spans="1:10" x14ac:dyDescent="0.2">
      <c r="A67" s="359" t="s">
        <v>826</v>
      </c>
      <c r="B67" s="359">
        <f t="shared" si="0"/>
        <v>62</v>
      </c>
      <c r="C67" s="359" t="s">
        <v>827</v>
      </c>
      <c r="D67" s="360">
        <v>862477</v>
      </c>
      <c r="E67" s="360">
        <v>862474</v>
      </c>
      <c r="F67" s="360">
        <v>862703</v>
      </c>
      <c r="G67" s="360">
        <v>862812</v>
      </c>
      <c r="H67" s="360">
        <v>862813</v>
      </c>
    </row>
    <row r="68" spans="1:10" x14ac:dyDescent="0.2">
      <c r="A68" s="359" t="s">
        <v>346</v>
      </c>
      <c r="B68" s="359">
        <f t="shared" si="0"/>
        <v>63</v>
      </c>
      <c r="C68" s="359" t="s">
        <v>347</v>
      </c>
      <c r="D68" s="360">
        <v>839631</v>
      </c>
      <c r="E68" s="360">
        <v>839631</v>
      </c>
      <c r="F68" s="360">
        <v>841687</v>
      </c>
      <c r="G68" s="360">
        <v>849457</v>
      </c>
      <c r="H68" s="360">
        <v>856158</v>
      </c>
    </row>
    <row r="69" spans="1:10" x14ac:dyDescent="0.2">
      <c r="A69" s="359" t="s">
        <v>692</v>
      </c>
      <c r="B69" s="359">
        <f t="shared" si="0"/>
        <v>64</v>
      </c>
      <c r="C69" s="359" t="s">
        <v>693</v>
      </c>
      <c r="D69" s="360">
        <v>837571</v>
      </c>
      <c r="E69" s="360">
        <v>837571</v>
      </c>
      <c r="F69" s="360">
        <v>838745</v>
      </c>
      <c r="G69" s="360">
        <v>843189</v>
      </c>
      <c r="H69" s="360">
        <v>848350</v>
      </c>
    </row>
    <row r="70" spans="1:10" x14ac:dyDescent="0.2">
      <c r="A70" s="359" t="s">
        <v>610</v>
      </c>
      <c r="B70" s="359">
        <f t="shared" si="0"/>
        <v>65</v>
      </c>
      <c r="C70" s="359" t="s">
        <v>611</v>
      </c>
      <c r="D70" s="360">
        <v>824112</v>
      </c>
      <c r="E70" s="360">
        <v>824106</v>
      </c>
      <c r="F70" s="360">
        <v>825788</v>
      </c>
      <c r="G70" s="360">
        <v>833063</v>
      </c>
      <c r="H70" s="360">
        <v>842853</v>
      </c>
    </row>
    <row r="71" spans="1:10" x14ac:dyDescent="0.2">
      <c r="A71" s="359" t="s">
        <v>866</v>
      </c>
      <c r="B71" s="359">
        <f t="shared" si="0"/>
        <v>66</v>
      </c>
      <c r="C71" s="359" t="s">
        <v>867</v>
      </c>
      <c r="D71" s="360">
        <v>823318</v>
      </c>
      <c r="E71" s="360">
        <v>823318</v>
      </c>
      <c r="F71" s="360">
        <v>825378</v>
      </c>
      <c r="G71" s="360">
        <v>831126</v>
      </c>
      <c r="H71" s="360">
        <v>835981</v>
      </c>
    </row>
    <row r="72" spans="1:10" x14ac:dyDescent="0.2">
      <c r="A72" s="359" t="s">
        <v>542</v>
      </c>
      <c r="B72" s="359">
        <f t="shared" ref="B72:B135" si="2">+B71+1</f>
        <v>67</v>
      </c>
      <c r="C72" s="359" t="s">
        <v>543</v>
      </c>
      <c r="D72" s="360">
        <v>804123</v>
      </c>
      <c r="E72" s="360">
        <v>804123</v>
      </c>
      <c r="F72" s="360">
        <v>806981</v>
      </c>
      <c r="G72" s="360">
        <v>821408</v>
      </c>
      <c r="H72" s="360">
        <v>830735</v>
      </c>
    </row>
    <row r="73" spans="1:10" x14ac:dyDescent="0.2">
      <c r="A73" s="359" t="s">
        <v>316</v>
      </c>
      <c r="B73" s="359">
        <f t="shared" si="2"/>
        <v>68</v>
      </c>
      <c r="C73" s="359" t="s">
        <v>317</v>
      </c>
      <c r="D73" s="360">
        <v>821173</v>
      </c>
      <c r="E73" s="360">
        <v>821173</v>
      </c>
      <c r="F73" s="360">
        <v>822055</v>
      </c>
      <c r="G73" s="360">
        <v>825312</v>
      </c>
      <c r="H73" s="360">
        <v>827171</v>
      </c>
    </row>
    <row r="74" spans="1:10" x14ac:dyDescent="0.2">
      <c r="A74" s="359" t="s">
        <v>354</v>
      </c>
      <c r="B74" s="359">
        <f t="shared" si="2"/>
        <v>69</v>
      </c>
      <c r="C74" s="359" t="s">
        <v>355</v>
      </c>
      <c r="D74" s="360">
        <v>802484</v>
      </c>
      <c r="E74" s="360">
        <v>802480</v>
      </c>
      <c r="F74" s="360">
        <v>804270</v>
      </c>
      <c r="G74" s="360">
        <v>808713</v>
      </c>
      <c r="H74" s="360">
        <v>815298</v>
      </c>
    </row>
    <row r="75" spans="1:10" x14ac:dyDescent="0.2">
      <c r="A75" s="359" t="s">
        <v>768</v>
      </c>
      <c r="B75" s="359">
        <f t="shared" si="2"/>
        <v>70</v>
      </c>
      <c r="C75" s="359" t="s">
        <v>769</v>
      </c>
      <c r="D75" s="360">
        <v>774769</v>
      </c>
      <c r="E75" s="360">
        <v>774769</v>
      </c>
      <c r="F75" s="360">
        <v>779203</v>
      </c>
      <c r="G75" s="360">
        <v>794181</v>
      </c>
      <c r="H75" s="360">
        <v>806552</v>
      </c>
      <c r="I75" s="366">
        <f>G75/F75-1</f>
        <v>1.9222205253316638E-2</v>
      </c>
      <c r="J75" s="366">
        <f t="shared" ref="J75" si="3">H75/G75-1</f>
        <v>1.5577053593576196E-2</v>
      </c>
    </row>
    <row r="76" spans="1:10" x14ac:dyDescent="0.2">
      <c r="A76" s="359" t="s">
        <v>502</v>
      </c>
      <c r="B76" s="359">
        <f t="shared" si="2"/>
        <v>71</v>
      </c>
      <c r="C76" s="359" t="s">
        <v>503</v>
      </c>
      <c r="D76" s="360">
        <v>799232</v>
      </c>
      <c r="E76" s="360">
        <v>799232</v>
      </c>
      <c r="F76" s="360">
        <v>799980</v>
      </c>
      <c r="G76" s="360">
        <v>801040</v>
      </c>
      <c r="H76" s="360">
        <v>800972</v>
      </c>
    </row>
    <row r="77" spans="1:10" x14ac:dyDescent="0.2">
      <c r="A77" s="359" t="s">
        <v>472</v>
      </c>
      <c r="B77" s="359">
        <f t="shared" si="2"/>
        <v>72</v>
      </c>
      <c r="C77" s="359" t="s">
        <v>473</v>
      </c>
      <c r="D77" s="360">
        <v>767598</v>
      </c>
      <c r="E77" s="360">
        <v>767602</v>
      </c>
      <c r="F77" s="360">
        <v>769819</v>
      </c>
      <c r="G77" s="360">
        <v>776793</v>
      </c>
      <c r="H77" s="360">
        <v>784745</v>
      </c>
    </row>
    <row r="78" spans="1:10" x14ac:dyDescent="0.2">
      <c r="A78" s="359" t="s">
        <v>606</v>
      </c>
      <c r="B78" s="359">
        <f t="shared" si="2"/>
        <v>73</v>
      </c>
      <c r="C78" s="359" t="s">
        <v>607</v>
      </c>
      <c r="D78" s="360">
        <v>723801</v>
      </c>
      <c r="E78" s="360">
        <v>723798</v>
      </c>
      <c r="F78" s="360">
        <v>725134</v>
      </c>
      <c r="G78" s="360">
        <v>730531</v>
      </c>
      <c r="H78" s="360">
        <v>736065</v>
      </c>
    </row>
    <row r="79" spans="1:10" x14ac:dyDescent="0.2">
      <c r="A79" s="359" t="s">
        <v>842</v>
      </c>
      <c r="B79" s="359">
        <f t="shared" si="2"/>
        <v>74</v>
      </c>
      <c r="C79" s="359" t="s">
        <v>843</v>
      </c>
      <c r="D79" s="360">
        <v>702281</v>
      </c>
      <c r="E79" s="360">
        <v>702281</v>
      </c>
      <c r="F79" s="360">
        <v>703568</v>
      </c>
      <c r="G79" s="360">
        <v>709037</v>
      </c>
      <c r="H79" s="360">
        <v>720042</v>
      </c>
    </row>
    <row r="80" spans="1:10" x14ac:dyDescent="0.2">
      <c r="A80" s="359" t="s">
        <v>734</v>
      </c>
      <c r="B80" s="359">
        <f t="shared" si="2"/>
        <v>75</v>
      </c>
      <c r="C80" s="359" t="s">
        <v>735</v>
      </c>
      <c r="D80" s="360">
        <v>699757</v>
      </c>
      <c r="E80" s="360">
        <v>699757</v>
      </c>
      <c r="F80" s="360">
        <v>702350</v>
      </c>
      <c r="G80" s="360">
        <v>710950</v>
      </c>
      <c r="H80" s="360">
        <v>717666</v>
      </c>
    </row>
    <row r="81" spans="1:8" x14ac:dyDescent="0.2">
      <c r="A81" s="359" t="s">
        <v>1032</v>
      </c>
      <c r="B81" s="359">
        <f t="shared" si="2"/>
        <v>76</v>
      </c>
      <c r="C81" s="359" t="s">
        <v>1033</v>
      </c>
      <c r="D81" s="360">
        <v>685306</v>
      </c>
      <c r="E81" s="360">
        <v>685308</v>
      </c>
      <c r="F81" s="360">
        <v>687516</v>
      </c>
      <c r="G81" s="360">
        <v>695626</v>
      </c>
      <c r="H81" s="360">
        <v>702612</v>
      </c>
    </row>
    <row r="82" spans="1:8" x14ac:dyDescent="0.2">
      <c r="A82" s="359" t="s">
        <v>304</v>
      </c>
      <c r="B82" s="359">
        <f t="shared" si="2"/>
        <v>77</v>
      </c>
      <c r="C82" s="359" t="s">
        <v>305</v>
      </c>
      <c r="D82" s="360">
        <v>703200</v>
      </c>
      <c r="E82" s="360">
        <v>703205</v>
      </c>
      <c r="F82" s="360">
        <v>703055</v>
      </c>
      <c r="G82" s="360">
        <v>702854</v>
      </c>
      <c r="H82" s="360">
        <v>702262</v>
      </c>
    </row>
    <row r="83" spans="1:8" x14ac:dyDescent="0.2">
      <c r="A83" s="359" t="s">
        <v>434</v>
      </c>
      <c r="B83" s="359">
        <f t="shared" si="2"/>
        <v>78</v>
      </c>
      <c r="C83" s="359" t="s">
        <v>435</v>
      </c>
      <c r="D83" s="360">
        <v>664607</v>
      </c>
      <c r="E83" s="360">
        <v>664608</v>
      </c>
      <c r="F83" s="360">
        <v>667606</v>
      </c>
      <c r="G83" s="360">
        <v>681684</v>
      </c>
      <c r="H83" s="360">
        <v>697439</v>
      </c>
    </row>
    <row r="84" spans="1:8" x14ac:dyDescent="0.2">
      <c r="A84" s="359" t="s">
        <v>468</v>
      </c>
      <c r="B84" s="359">
        <f t="shared" si="2"/>
        <v>79</v>
      </c>
      <c r="C84" s="359" t="s">
        <v>469</v>
      </c>
      <c r="D84" s="360">
        <v>645613</v>
      </c>
      <c r="E84" s="360">
        <v>645613</v>
      </c>
      <c r="F84" s="360">
        <v>650130</v>
      </c>
      <c r="G84" s="360">
        <v>659773</v>
      </c>
      <c r="H84" s="360">
        <v>668353</v>
      </c>
    </row>
    <row r="85" spans="1:8" x14ac:dyDescent="0.2">
      <c r="A85" s="359" t="s">
        <v>1036</v>
      </c>
      <c r="B85" s="359">
        <f t="shared" si="2"/>
        <v>80</v>
      </c>
      <c r="C85" s="359" t="s">
        <v>1037</v>
      </c>
      <c r="D85" s="360">
        <v>662577</v>
      </c>
      <c r="E85" s="360">
        <v>662578</v>
      </c>
      <c r="F85" s="360">
        <v>662922</v>
      </c>
      <c r="G85" s="360">
        <v>662431</v>
      </c>
      <c r="H85" s="360">
        <v>660934</v>
      </c>
    </row>
    <row r="86" spans="1:8" x14ac:dyDescent="0.2">
      <c r="A86" s="359" t="s">
        <v>1112</v>
      </c>
      <c r="B86" s="359">
        <f t="shared" si="2"/>
        <v>81</v>
      </c>
      <c r="C86" s="359" t="s">
        <v>1113</v>
      </c>
      <c r="D86" s="360">
        <v>640595</v>
      </c>
      <c r="E86" s="360">
        <v>640577</v>
      </c>
      <c r="F86" s="360">
        <v>641320</v>
      </c>
      <c r="G86" s="360">
        <v>644393</v>
      </c>
      <c r="H86" s="360">
        <v>647697</v>
      </c>
    </row>
    <row r="87" spans="1:8" x14ac:dyDescent="0.2">
      <c r="A87" s="359" t="s">
        <v>416</v>
      </c>
      <c r="B87" s="359">
        <f t="shared" si="2"/>
        <v>82</v>
      </c>
      <c r="C87" s="359" t="s">
        <v>417</v>
      </c>
      <c r="D87" s="360">
        <v>618754</v>
      </c>
      <c r="E87" s="360">
        <v>618754</v>
      </c>
      <c r="F87" s="360">
        <v>620601</v>
      </c>
      <c r="G87" s="360">
        <v>631602</v>
      </c>
      <c r="H87" s="360">
        <v>645293</v>
      </c>
    </row>
    <row r="88" spans="1:8" x14ac:dyDescent="0.2">
      <c r="A88" s="359" t="s">
        <v>384</v>
      </c>
      <c r="B88" s="359">
        <f t="shared" si="2"/>
        <v>83</v>
      </c>
      <c r="C88" s="359" t="s">
        <v>385</v>
      </c>
      <c r="D88" s="360">
        <v>616561</v>
      </c>
      <c r="E88" s="360">
        <v>616561</v>
      </c>
      <c r="F88" s="360">
        <v>618002</v>
      </c>
      <c r="G88" s="360">
        <v>627636</v>
      </c>
      <c r="H88" s="360">
        <v>637896</v>
      </c>
    </row>
    <row r="89" spans="1:8" x14ac:dyDescent="0.2">
      <c r="A89" s="359" t="s">
        <v>1102</v>
      </c>
      <c r="B89" s="359">
        <f t="shared" si="2"/>
        <v>84</v>
      </c>
      <c r="C89" s="359" t="s">
        <v>1103</v>
      </c>
      <c r="D89" s="360">
        <v>630919</v>
      </c>
      <c r="E89" s="360">
        <v>630919</v>
      </c>
      <c r="F89" s="360">
        <v>631975</v>
      </c>
      <c r="G89" s="360">
        <v>633344</v>
      </c>
      <c r="H89" s="360">
        <v>636105</v>
      </c>
    </row>
    <row r="90" spans="1:8" x14ac:dyDescent="0.2">
      <c r="A90" s="359" t="s">
        <v>1022</v>
      </c>
      <c r="B90" s="359">
        <f t="shared" si="2"/>
        <v>85</v>
      </c>
      <c r="C90" s="359" t="s">
        <v>1023</v>
      </c>
      <c r="D90" s="360">
        <v>621570</v>
      </c>
      <c r="E90" s="360">
        <v>621570</v>
      </c>
      <c r="F90" s="360">
        <v>623193</v>
      </c>
      <c r="G90" s="360">
        <v>625346</v>
      </c>
      <c r="H90" s="360">
        <v>625718</v>
      </c>
    </row>
    <row r="91" spans="1:8" x14ac:dyDescent="0.2">
      <c r="A91" s="359" t="s">
        <v>758</v>
      </c>
      <c r="B91" s="359">
        <f t="shared" si="2"/>
        <v>86</v>
      </c>
      <c r="C91" s="359" t="s">
        <v>759</v>
      </c>
      <c r="D91" s="360">
        <v>605435</v>
      </c>
      <c r="E91" s="360">
        <v>605435</v>
      </c>
      <c r="F91" s="360">
        <v>606546</v>
      </c>
      <c r="G91" s="360">
        <v>613943</v>
      </c>
      <c r="H91" s="360">
        <v>620778</v>
      </c>
    </row>
    <row r="92" spans="1:8" x14ac:dyDescent="0.2">
      <c r="A92" s="359" t="s">
        <v>706</v>
      </c>
      <c r="B92" s="359">
        <f t="shared" si="2"/>
        <v>87</v>
      </c>
      <c r="C92" s="359" t="s">
        <v>707</v>
      </c>
      <c r="D92" s="360">
        <v>602095</v>
      </c>
      <c r="E92" s="360">
        <v>602095</v>
      </c>
      <c r="F92" s="360">
        <v>603343</v>
      </c>
      <c r="G92" s="360">
        <v>609823</v>
      </c>
      <c r="H92" s="360">
        <v>616158</v>
      </c>
    </row>
    <row r="93" spans="1:8" x14ac:dyDescent="0.2">
      <c r="A93" s="359" t="s">
        <v>852</v>
      </c>
      <c r="B93" s="359">
        <f t="shared" si="2"/>
        <v>88</v>
      </c>
      <c r="C93" s="359" t="s">
        <v>853</v>
      </c>
      <c r="D93" s="360">
        <v>597159</v>
      </c>
      <c r="E93" s="360">
        <v>597159</v>
      </c>
      <c r="F93" s="360">
        <v>599708</v>
      </c>
      <c r="G93" s="360">
        <v>605786</v>
      </c>
      <c r="H93" s="360">
        <v>612441</v>
      </c>
    </row>
    <row r="94" spans="1:8" x14ac:dyDescent="0.2">
      <c r="A94" s="359" t="s">
        <v>1048</v>
      </c>
      <c r="B94" s="359">
        <f t="shared" si="2"/>
        <v>89</v>
      </c>
      <c r="C94" s="359" t="s">
        <v>1049</v>
      </c>
      <c r="D94" s="360">
        <v>610001</v>
      </c>
      <c r="E94" s="360">
        <v>610001</v>
      </c>
      <c r="F94" s="360">
        <v>609708</v>
      </c>
      <c r="G94" s="360">
        <v>609320</v>
      </c>
      <c r="H94" s="360">
        <v>608711</v>
      </c>
    </row>
    <row r="95" spans="1:8" x14ac:dyDescent="0.2">
      <c r="A95" s="359" t="s">
        <v>508</v>
      </c>
      <c r="B95" s="359">
        <f t="shared" si="2"/>
        <v>90</v>
      </c>
      <c r="C95" s="359" t="s">
        <v>509</v>
      </c>
      <c r="D95" s="360">
        <v>590289</v>
      </c>
      <c r="E95" s="360">
        <v>590293</v>
      </c>
      <c r="F95" s="360">
        <v>590681</v>
      </c>
      <c r="G95" s="360">
        <v>591550</v>
      </c>
      <c r="H95" s="360">
        <v>595309</v>
      </c>
    </row>
    <row r="96" spans="1:8" x14ac:dyDescent="0.2">
      <c r="A96" s="359" t="s">
        <v>512</v>
      </c>
      <c r="B96" s="359">
        <f t="shared" si="2"/>
        <v>91</v>
      </c>
      <c r="C96" s="359" t="s">
        <v>513</v>
      </c>
      <c r="D96" s="360">
        <v>569633</v>
      </c>
      <c r="E96" s="360">
        <v>569633</v>
      </c>
      <c r="F96" s="360">
        <v>572000</v>
      </c>
      <c r="G96" s="360">
        <v>580716</v>
      </c>
      <c r="H96" s="360">
        <v>588999</v>
      </c>
    </row>
    <row r="97" spans="1:8" x14ac:dyDescent="0.2">
      <c r="A97" s="359" t="s">
        <v>656</v>
      </c>
      <c r="B97" s="359">
        <f t="shared" si="2"/>
        <v>92</v>
      </c>
      <c r="C97" s="359" t="s">
        <v>657</v>
      </c>
      <c r="D97" s="360">
        <v>567122</v>
      </c>
      <c r="E97" s="360">
        <v>567121</v>
      </c>
      <c r="F97" s="360">
        <v>568181</v>
      </c>
      <c r="G97" s="360">
        <v>573693</v>
      </c>
      <c r="H97" s="360">
        <v>576800</v>
      </c>
    </row>
    <row r="98" spans="1:8" x14ac:dyDescent="0.2">
      <c r="A98" s="359" t="s">
        <v>342</v>
      </c>
      <c r="B98" s="359">
        <f t="shared" si="2"/>
        <v>93</v>
      </c>
      <c r="C98" s="359" t="s">
        <v>343</v>
      </c>
      <c r="D98" s="360">
        <v>564873</v>
      </c>
      <c r="E98" s="360">
        <v>564871</v>
      </c>
      <c r="F98" s="360">
        <v>566781</v>
      </c>
      <c r="G98" s="360">
        <v>571098</v>
      </c>
      <c r="H98" s="360">
        <v>575898</v>
      </c>
    </row>
    <row r="99" spans="1:8" x14ac:dyDescent="0.2">
      <c r="A99" s="359" t="s">
        <v>990</v>
      </c>
      <c r="B99" s="359">
        <f t="shared" si="2"/>
        <v>94</v>
      </c>
      <c r="C99" s="359" t="s">
        <v>991</v>
      </c>
      <c r="D99" s="360">
        <v>563631</v>
      </c>
      <c r="E99" s="360">
        <v>563630</v>
      </c>
      <c r="F99" s="360">
        <v>563597</v>
      </c>
      <c r="G99" s="360">
        <v>563939</v>
      </c>
      <c r="H99" s="360">
        <v>563629</v>
      </c>
    </row>
    <row r="100" spans="1:8" x14ac:dyDescent="0.2">
      <c r="A100" s="359" t="s">
        <v>1120</v>
      </c>
      <c r="B100" s="359">
        <f t="shared" si="2"/>
        <v>95</v>
      </c>
      <c r="C100" s="359" t="s">
        <v>1121</v>
      </c>
      <c r="D100" s="360">
        <v>565773</v>
      </c>
      <c r="E100" s="360">
        <v>565773</v>
      </c>
      <c r="F100" s="360">
        <v>564830</v>
      </c>
      <c r="G100" s="360">
        <v>561697</v>
      </c>
      <c r="H100" s="360">
        <v>558206</v>
      </c>
    </row>
    <row r="101" spans="1:8" x14ac:dyDescent="0.2">
      <c r="A101" s="359" t="s">
        <v>620</v>
      </c>
      <c r="B101" s="359">
        <f t="shared" si="2"/>
        <v>96</v>
      </c>
      <c r="C101" s="359" t="s">
        <v>621</v>
      </c>
      <c r="D101" s="360">
        <v>549475</v>
      </c>
      <c r="E101" s="360">
        <v>549473</v>
      </c>
      <c r="F101" s="360">
        <v>550212</v>
      </c>
      <c r="G101" s="360">
        <v>551611</v>
      </c>
      <c r="H101" s="360">
        <v>553980</v>
      </c>
    </row>
    <row r="102" spans="1:8" x14ac:dyDescent="0.2">
      <c r="A102" s="359" t="s">
        <v>908</v>
      </c>
      <c r="B102" s="359">
        <f t="shared" si="2"/>
        <v>97</v>
      </c>
      <c r="C102" s="359" t="s">
        <v>909</v>
      </c>
      <c r="D102" s="360">
        <v>526810</v>
      </c>
      <c r="E102" s="360">
        <v>526810</v>
      </c>
      <c r="F102" s="360">
        <v>530092</v>
      </c>
      <c r="G102" s="360">
        <v>540437</v>
      </c>
      <c r="H102" s="360">
        <v>550845</v>
      </c>
    </row>
    <row r="103" spans="1:8" x14ac:dyDescent="0.2">
      <c r="A103" s="359" t="s">
        <v>868</v>
      </c>
      <c r="B103" s="359">
        <f t="shared" si="2"/>
        <v>98</v>
      </c>
      <c r="C103" s="359" t="s">
        <v>869</v>
      </c>
      <c r="D103" s="360">
        <v>543376</v>
      </c>
      <c r="E103" s="360">
        <v>543372</v>
      </c>
      <c r="F103" s="360">
        <v>543978</v>
      </c>
      <c r="G103" s="360">
        <v>544322</v>
      </c>
      <c r="H103" s="360">
        <v>547307</v>
      </c>
    </row>
    <row r="104" spans="1:8" x14ac:dyDescent="0.2">
      <c r="A104" s="359" t="s">
        <v>440</v>
      </c>
      <c r="B104" s="359">
        <f t="shared" si="2"/>
        <v>99</v>
      </c>
      <c r="C104" s="359" t="s">
        <v>441</v>
      </c>
      <c r="D104" s="360">
        <v>528143</v>
      </c>
      <c r="E104" s="360">
        <v>528145</v>
      </c>
      <c r="F104" s="360">
        <v>529239</v>
      </c>
      <c r="G104" s="360">
        <v>533343</v>
      </c>
      <c r="H104" s="360">
        <v>537889</v>
      </c>
    </row>
    <row r="105" spans="1:8" x14ac:dyDescent="0.2">
      <c r="A105" s="359" t="s">
        <v>1018</v>
      </c>
      <c r="B105" s="359">
        <f t="shared" si="2"/>
        <v>100</v>
      </c>
      <c r="C105" s="359" t="s">
        <v>1019</v>
      </c>
      <c r="D105" s="360">
        <v>527753</v>
      </c>
      <c r="E105" s="360">
        <v>527753</v>
      </c>
      <c r="F105" s="360">
        <v>528615</v>
      </c>
      <c r="G105" s="360">
        <v>529907</v>
      </c>
      <c r="H105" s="360">
        <v>532253</v>
      </c>
    </row>
    <row r="106" spans="1:8" x14ac:dyDescent="0.2">
      <c r="A106" s="359" t="s">
        <v>708</v>
      </c>
      <c r="B106" s="359">
        <f t="shared" si="2"/>
        <v>101</v>
      </c>
      <c r="C106" s="359" t="s">
        <v>709</v>
      </c>
      <c r="D106" s="360">
        <v>519445</v>
      </c>
      <c r="E106" s="360">
        <v>519448</v>
      </c>
      <c r="F106" s="360">
        <v>520344</v>
      </c>
      <c r="G106" s="360">
        <v>523862</v>
      </c>
      <c r="H106" s="360">
        <v>526823</v>
      </c>
    </row>
    <row r="107" spans="1:8" x14ac:dyDescent="0.2">
      <c r="A107" s="359" t="s">
        <v>528</v>
      </c>
      <c r="B107" s="359">
        <f t="shared" si="2"/>
        <v>102</v>
      </c>
      <c r="C107" s="359" t="s">
        <v>529</v>
      </c>
      <c r="D107" s="360">
        <v>504357</v>
      </c>
      <c r="E107" s="360">
        <v>504401</v>
      </c>
      <c r="F107" s="360">
        <v>505894</v>
      </c>
      <c r="G107" s="360">
        <v>513900</v>
      </c>
      <c r="H107" s="360">
        <v>522826</v>
      </c>
    </row>
    <row r="108" spans="1:8" x14ac:dyDescent="0.2">
      <c r="A108" s="359" t="s">
        <v>798</v>
      </c>
      <c r="B108" s="359">
        <f t="shared" si="2"/>
        <v>103</v>
      </c>
      <c r="C108" s="359" t="s">
        <v>799</v>
      </c>
      <c r="D108" s="360">
        <v>514453</v>
      </c>
      <c r="E108" s="360">
        <v>514451</v>
      </c>
      <c r="F108" s="360">
        <v>515326</v>
      </c>
      <c r="G108" s="360">
        <v>517957</v>
      </c>
      <c r="H108" s="360">
        <v>521726</v>
      </c>
    </row>
    <row r="109" spans="1:8" x14ac:dyDescent="0.2">
      <c r="A109" s="359" t="s">
        <v>898</v>
      </c>
      <c r="B109" s="359">
        <f t="shared" si="2"/>
        <v>104</v>
      </c>
      <c r="C109" s="359" t="s">
        <v>899</v>
      </c>
      <c r="D109" s="360">
        <v>514098</v>
      </c>
      <c r="E109" s="360">
        <v>514100</v>
      </c>
      <c r="F109" s="360">
        <v>513875</v>
      </c>
      <c r="G109" s="360">
        <v>516081</v>
      </c>
      <c r="H109" s="360">
        <v>518117</v>
      </c>
    </row>
    <row r="110" spans="1:8" x14ac:dyDescent="0.2">
      <c r="A110" s="359" t="s">
        <v>986</v>
      </c>
      <c r="B110" s="359">
        <f t="shared" si="2"/>
        <v>105</v>
      </c>
      <c r="C110" s="359" t="s">
        <v>987</v>
      </c>
      <c r="D110" s="360">
        <v>483878</v>
      </c>
      <c r="E110" s="360">
        <v>483878</v>
      </c>
      <c r="F110" s="360">
        <v>484801</v>
      </c>
      <c r="G110" s="360">
        <v>488082</v>
      </c>
      <c r="H110" s="360">
        <v>491829</v>
      </c>
    </row>
    <row r="111" spans="1:8" x14ac:dyDescent="0.2">
      <c r="A111" s="359" t="s">
        <v>728</v>
      </c>
      <c r="B111" s="359">
        <f t="shared" si="2"/>
        <v>106</v>
      </c>
      <c r="C111" s="359" t="s">
        <v>729</v>
      </c>
      <c r="D111" s="360">
        <v>472099</v>
      </c>
      <c r="E111" s="360">
        <v>472099</v>
      </c>
      <c r="F111" s="360">
        <v>473468</v>
      </c>
      <c r="G111" s="360">
        <v>478935</v>
      </c>
      <c r="H111" s="360">
        <v>485023</v>
      </c>
    </row>
    <row r="112" spans="1:8" x14ac:dyDescent="0.2">
      <c r="A112" s="359" t="s">
        <v>558</v>
      </c>
      <c r="B112" s="359">
        <f t="shared" si="2"/>
        <v>107</v>
      </c>
      <c r="C112" s="359" t="s">
        <v>559</v>
      </c>
      <c r="D112" s="360">
        <v>463204</v>
      </c>
      <c r="E112" s="360">
        <v>463207</v>
      </c>
      <c r="F112" s="360">
        <v>465776</v>
      </c>
      <c r="G112" s="360">
        <v>473933</v>
      </c>
      <c r="H112" s="360">
        <v>482200</v>
      </c>
    </row>
    <row r="113" spans="1:8" x14ac:dyDescent="0.2">
      <c r="A113" s="359" t="s">
        <v>698</v>
      </c>
      <c r="B113" s="359">
        <f t="shared" si="2"/>
        <v>108</v>
      </c>
      <c r="C113" s="359" t="s">
        <v>699</v>
      </c>
      <c r="D113" s="360">
        <v>466750</v>
      </c>
      <c r="E113" s="360">
        <v>466750</v>
      </c>
      <c r="F113" s="360">
        <v>467416</v>
      </c>
      <c r="G113" s="360">
        <v>470682</v>
      </c>
      <c r="H113" s="360">
        <v>474415</v>
      </c>
    </row>
    <row r="114" spans="1:8" x14ac:dyDescent="0.2">
      <c r="A114" s="359" t="s">
        <v>710</v>
      </c>
      <c r="B114" s="359">
        <f t="shared" si="2"/>
        <v>109</v>
      </c>
      <c r="C114" s="359" t="s">
        <v>711</v>
      </c>
      <c r="D114" s="360">
        <v>464036</v>
      </c>
      <c r="E114" s="360">
        <v>464036</v>
      </c>
      <c r="F114" s="360">
        <v>464160</v>
      </c>
      <c r="G114" s="360">
        <v>465614</v>
      </c>
      <c r="H114" s="360">
        <v>465732</v>
      </c>
    </row>
    <row r="115" spans="1:8" x14ac:dyDescent="0.2">
      <c r="A115" s="359" t="s">
        <v>874</v>
      </c>
      <c r="B115" s="359">
        <f t="shared" si="2"/>
        <v>110</v>
      </c>
      <c r="C115" s="359" t="s">
        <v>875</v>
      </c>
      <c r="D115" s="360">
        <v>448991</v>
      </c>
      <c r="E115" s="360">
        <v>448991</v>
      </c>
      <c r="F115" s="360">
        <v>451110</v>
      </c>
      <c r="G115" s="360">
        <v>455458</v>
      </c>
      <c r="H115" s="360">
        <v>461227</v>
      </c>
    </row>
    <row r="116" spans="1:8" x14ac:dyDescent="0.2">
      <c r="A116" s="359" t="s">
        <v>1076</v>
      </c>
      <c r="B116" s="359">
        <f t="shared" si="2"/>
        <v>111</v>
      </c>
      <c r="C116" s="359" t="s">
        <v>1077</v>
      </c>
      <c r="D116" s="360">
        <v>442179</v>
      </c>
      <c r="E116" s="360">
        <v>442179</v>
      </c>
      <c r="F116" s="360">
        <v>443218</v>
      </c>
      <c r="G116" s="360">
        <v>447918</v>
      </c>
      <c r="H116" s="360">
        <v>451977</v>
      </c>
    </row>
    <row r="117" spans="1:8" x14ac:dyDescent="0.2">
      <c r="A117" s="359" t="s">
        <v>1006</v>
      </c>
      <c r="B117" s="359">
        <f t="shared" si="2"/>
        <v>112</v>
      </c>
      <c r="C117" s="359" t="s">
        <v>1007</v>
      </c>
      <c r="D117" s="360">
        <v>439811</v>
      </c>
      <c r="E117" s="360">
        <v>439811</v>
      </c>
      <c r="F117" s="360">
        <v>441155</v>
      </c>
      <c r="G117" s="360">
        <v>444880</v>
      </c>
      <c r="H117" s="360">
        <v>447193</v>
      </c>
    </row>
    <row r="118" spans="1:8" x14ac:dyDescent="0.2">
      <c r="A118" s="359" t="s">
        <v>1024</v>
      </c>
      <c r="B118" s="359">
        <f t="shared" si="2"/>
        <v>113</v>
      </c>
      <c r="C118" s="359" t="s">
        <v>1025</v>
      </c>
      <c r="D118" s="360">
        <v>436712</v>
      </c>
      <c r="E118" s="360">
        <v>436712</v>
      </c>
      <c r="F118" s="360">
        <v>437498</v>
      </c>
      <c r="G118" s="360">
        <v>440317</v>
      </c>
      <c r="H118" s="360">
        <v>444617</v>
      </c>
    </row>
    <row r="119" spans="1:8" x14ac:dyDescent="0.2">
      <c r="A119" s="359" t="s">
        <v>1118</v>
      </c>
      <c r="B119" s="359">
        <f t="shared" si="2"/>
        <v>114</v>
      </c>
      <c r="C119" s="359" t="s">
        <v>1119</v>
      </c>
      <c r="D119" s="360">
        <v>434972</v>
      </c>
      <c r="E119" s="360">
        <v>434972</v>
      </c>
      <c r="F119" s="360">
        <v>435586</v>
      </c>
      <c r="G119" s="360">
        <v>437040</v>
      </c>
      <c r="H119" s="360">
        <v>437846</v>
      </c>
    </row>
    <row r="120" spans="1:8" x14ac:dyDescent="0.2">
      <c r="A120" s="359" t="s">
        <v>480</v>
      </c>
      <c r="B120" s="359">
        <f t="shared" si="2"/>
        <v>115</v>
      </c>
      <c r="C120" s="359" t="s">
        <v>481</v>
      </c>
      <c r="D120" s="360">
        <v>428185</v>
      </c>
      <c r="E120" s="360">
        <v>428188</v>
      </c>
      <c r="F120" s="360">
        <v>428050</v>
      </c>
      <c r="G120" s="360">
        <v>430961</v>
      </c>
      <c r="H120" s="360">
        <v>437109</v>
      </c>
    </row>
    <row r="121" spans="1:8" x14ac:dyDescent="0.2">
      <c r="A121" s="359" t="s">
        <v>924</v>
      </c>
      <c r="B121" s="359">
        <f t="shared" si="2"/>
        <v>116</v>
      </c>
      <c r="C121" s="359" t="s">
        <v>925</v>
      </c>
      <c r="D121" s="360">
        <v>425417</v>
      </c>
      <c r="E121" s="360">
        <v>425417</v>
      </c>
      <c r="F121" s="360">
        <v>426223</v>
      </c>
      <c r="G121" s="360">
        <v>429356</v>
      </c>
      <c r="H121" s="360">
        <v>433843</v>
      </c>
    </row>
    <row r="122" spans="1:8" x14ac:dyDescent="0.2">
      <c r="A122" s="359" t="s">
        <v>902</v>
      </c>
      <c r="B122" s="359">
        <f t="shared" si="2"/>
        <v>117</v>
      </c>
      <c r="C122" s="359" t="s">
        <v>903</v>
      </c>
      <c r="D122" s="360">
        <v>424107</v>
      </c>
      <c r="E122" s="360">
        <v>424107</v>
      </c>
      <c r="F122" s="360">
        <v>425251</v>
      </c>
      <c r="G122" s="360">
        <v>428409</v>
      </c>
      <c r="H122" s="360">
        <v>432683</v>
      </c>
    </row>
    <row r="123" spans="1:8" x14ac:dyDescent="0.2">
      <c r="A123" s="359" t="s">
        <v>332</v>
      </c>
      <c r="B123" s="359">
        <f t="shared" si="2"/>
        <v>118</v>
      </c>
      <c r="C123" s="359" t="s">
        <v>333</v>
      </c>
      <c r="D123" s="360">
        <v>424858</v>
      </c>
      <c r="E123" s="360">
        <v>424859</v>
      </c>
      <c r="F123" s="360">
        <v>425558</v>
      </c>
      <c r="G123" s="360">
        <v>428657</v>
      </c>
      <c r="H123" s="360">
        <v>432406</v>
      </c>
    </row>
    <row r="124" spans="1:8" x14ac:dyDescent="0.2">
      <c r="A124" s="359" t="s">
        <v>984</v>
      </c>
      <c r="B124" s="359">
        <f t="shared" si="2"/>
        <v>119</v>
      </c>
      <c r="C124" s="359" t="s">
        <v>985</v>
      </c>
      <c r="D124" s="360">
        <v>423895</v>
      </c>
      <c r="E124" s="360">
        <v>423895</v>
      </c>
      <c r="F124" s="360">
        <v>424403</v>
      </c>
      <c r="G124" s="360">
        <v>426101</v>
      </c>
      <c r="H124" s="360">
        <v>431249</v>
      </c>
    </row>
    <row r="125" spans="1:8" x14ac:dyDescent="0.2">
      <c r="A125" s="359" t="s">
        <v>644</v>
      </c>
      <c r="B125" s="359">
        <f t="shared" si="2"/>
        <v>120</v>
      </c>
      <c r="C125" s="359" t="s">
        <v>645</v>
      </c>
      <c r="D125" s="360">
        <v>417593</v>
      </c>
      <c r="E125" s="360">
        <v>417593</v>
      </c>
      <c r="F125" s="360">
        <v>419381</v>
      </c>
      <c r="G125" s="360">
        <v>425212</v>
      </c>
      <c r="H125" s="360">
        <v>430734</v>
      </c>
    </row>
    <row r="126" spans="1:8" x14ac:dyDescent="0.2">
      <c r="A126" s="359" t="s">
        <v>956</v>
      </c>
      <c r="B126" s="359">
        <f t="shared" si="2"/>
        <v>121</v>
      </c>
      <c r="C126" s="359" t="s">
        <v>957</v>
      </c>
      <c r="D126" s="360">
        <v>415057</v>
      </c>
      <c r="E126" s="360">
        <v>415057</v>
      </c>
      <c r="F126" s="360">
        <v>416335</v>
      </c>
      <c r="G126" s="360">
        <v>421612</v>
      </c>
      <c r="H126" s="360">
        <v>426762</v>
      </c>
    </row>
    <row r="127" spans="1:8" x14ac:dyDescent="0.2">
      <c r="A127" s="359" t="s">
        <v>386</v>
      </c>
      <c r="B127" s="359">
        <f t="shared" si="2"/>
        <v>122</v>
      </c>
      <c r="C127" s="361" t="s">
        <v>393</v>
      </c>
      <c r="D127" s="360">
        <v>418366</v>
      </c>
      <c r="E127" s="360">
        <v>418366</v>
      </c>
      <c r="F127" s="360">
        <v>418570</v>
      </c>
      <c r="G127" s="360">
        <v>419756</v>
      </c>
      <c r="H127" s="360">
        <v>421939</v>
      </c>
    </row>
    <row r="128" spans="1:8" x14ac:dyDescent="0.2">
      <c r="A128" s="359" t="s">
        <v>574</v>
      </c>
      <c r="B128" s="359">
        <f t="shared" si="2"/>
        <v>123</v>
      </c>
      <c r="C128" s="359" t="s">
        <v>575</v>
      </c>
      <c r="D128" s="360">
        <v>416257</v>
      </c>
      <c r="E128" s="360">
        <v>416257</v>
      </c>
      <c r="F128" s="360">
        <v>416779</v>
      </c>
      <c r="G128" s="360">
        <v>419568</v>
      </c>
      <c r="H128" s="360">
        <v>421406</v>
      </c>
    </row>
    <row r="129" spans="1:8" x14ac:dyDescent="0.2">
      <c r="A129" s="359" t="s">
        <v>1068</v>
      </c>
      <c r="B129" s="359">
        <f t="shared" si="2"/>
        <v>124</v>
      </c>
      <c r="C129" s="359" t="s">
        <v>1069</v>
      </c>
      <c r="D129" s="360">
        <v>413344</v>
      </c>
      <c r="E129" s="360">
        <v>413344</v>
      </c>
      <c r="F129" s="360">
        <v>414095</v>
      </c>
      <c r="G129" s="360">
        <v>416932</v>
      </c>
      <c r="H129" s="360">
        <v>420757</v>
      </c>
    </row>
    <row r="130" spans="1:8" x14ac:dyDescent="0.2">
      <c r="A130" s="359" t="s">
        <v>686</v>
      </c>
      <c r="B130" s="359">
        <f t="shared" si="2"/>
        <v>125</v>
      </c>
      <c r="C130" s="359" t="s">
        <v>687</v>
      </c>
      <c r="D130" s="360">
        <v>405300</v>
      </c>
      <c r="E130" s="360">
        <v>405300</v>
      </c>
      <c r="F130" s="360">
        <v>408221</v>
      </c>
      <c r="G130" s="360">
        <v>412390</v>
      </c>
      <c r="H130" s="360">
        <v>420375</v>
      </c>
    </row>
    <row r="131" spans="1:8" x14ac:dyDescent="0.2">
      <c r="A131" s="359" t="s">
        <v>562</v>
      </c>
      <c r="B131" s="359">
        <f t="shared" si="2"/>
        <v>126</v>
      </c>
      <c r="C131" s="359" t="s">
        <v>563</v>
      </c>
      <c r="D131" s="360">
        <v>425790</v>
      </c>
      <c r="E131" s="360">
        <v>425790</v>
      </c>
      <c r="F131" s="360">
        <v>425152</v>
      </c>
      <c r="G131" s="360">
        <v>422053</v>
      </c>
      <c r="H131" s="360">
        <v>418408</v>
      </c>
    </row>
    <row r="132" spans="1:8" x14ac:dyDescent="0.2">
      <c r="A132" s="359" t="s">
        <v>402</v>
      </c>
      <c r="B132" s="359">
        <f t="shared" si="2"/>
        <v>127</v>
      </c>
      <c r="C132" s="359" t="s">
        <v>403</v>
      </c>
      <c r="D132" s="360">
        <v>406220</v>
      </c>
      <c r="E132" s="360">
        <v>406220</v>
      </c>
      <c r="F132" s="360">
        <v>407656</v>
      </c>
      <c r="G132" s="360">
        <v>412577</v>
      </c>
      <c r="H132" s="360">
        <v>415557</v>
      </c>
    </row>
    <row r="133" spans="1:8" x14ac:dyDescent="0.2">
      <c r="A133" s="359" t="s">
        <v>796</v>
      </c>
      <c r="B133" s="359">
        <f t="shared" si="2"/>
        <v>128</v>
      </c>
      <c r="C133" s="359" t="s">
        <v>797</v>
      </c>
      <c r="D133" s="360">
        <v>412992</v>
      </c>
      <c r="E133" s="360">
        <v>412992</v>
      </c>
      <c r="F133" s="360">
        <v>413216</v>
      </c>
      <c r="G133" s="360">
        <v>413145</v>
      </c>
      <c r="H133" s="360">
        <v>413936</v>
      </c>
    </row>
    <row r="134" spans="1:8" x14ac:dyDescent="0.2">
      <c r="A134" s="359" t="s">
        <v>920</v>
      </c>
      <c r="B134" s="359">
        <f t="shared" si="2"/>
        <v>129</v>
      </c>
      <c r="C134" s="359" t="s">
        <v>921</v>
      </c>
      <c r="D134" s="360">
        <v>411442</v>
      </c>
      <c r="E134" s="360">
        <v>411447</v>
      </c>
      <c r="F134" s="360">
        <v>411791</v>
      </c>
      <c r="G134" s="360">
        <v>412547</v>
      </c>
      <c r="H134" s="360">
        <v>413491</v>
      </c>
    </row>
    <row r="135" spans="1:8" x14ac:dyDescent="0.2">
      <c r="A135" s="359" t="s">
        <v>360</v>
      </c>
      <c r="B135" s="359">
        <f t="shared" si="2"/>
        <v>130</v>
      </c>
      <c r="C135" s="359" t="s">
        <v>361</v>
      </c>
      <c r="D135" s="360">
        <v>403190</v>
      </c>
      <c r="E135" s="360">
        <v>403190</v>
      </c>
      <c r="F135" s="360">
        <v>403562</v>
      </c>
      <c r="G135" s="360">
        <v>405031</v>
      </c>
      <c r="H135" s="360">
        <v>404180</v>
      </c>
    </row>
    <row r="136" spans="1:8" x14ac:dyDescent="0.2">
      <c r="A136" s="359" t="s">
        <v>414</v>
      </c>
      <c r="B136" s="359">
        <f t="shared" ref="B136:B180" si="4">+B135+1</f>
        <v>131</v>
      </c>
      <c r="C136" s="359" t="s">
        <v>415</v>
      </c>
      <c r="D136" s="360">
        <v>404422</v>
      </c>
      <c r="E136" s="360">
        <v>404422</v>
      </c>
      <c r="F136" s="360">
        <v>404217</v>
      </c>
      <c r="G136" s="360">
        <v>403164</v>
      </c>
      <c r="H136" s="360">
        <v>403455</v>
      </c>
    </row>
    <row r="137" spans="1:8" x14ac:dyDescent="0.2">
      <c r="A137" s="359" t="s">
        <v>760</v>
      </c>
      <c r="B137" s="359">
        <f t="shared" si="4"/>
        <v>132</v>
      </c>
      <c r="C137" s="359" t="s">
        <v>761</v>
      </c>
      <c r="D137" s="360">
        <v>400721</v>
      </c>
      <c r="E137" s="360">
        <v>400721</v>
      </c>
      <c r="F137" s="360">
        <v>401036</v>
      </c>
      <c r="G137" s="360">
        <v>401842</v>
      </c>
      <c r="H137" s="360">
        <v>402922</v>
      </c>
    </row>
    <row r="138" spans="1:8" x14ac:dyDescent="0.2">
      <c r="A138" s="359" t="s">
        <v>830</v>
      </c>
      <c r="B138" s="359">
        <f t="shared" si="4"/>
        <v>133</v>
      </c>
      <c r="C138" s="361" t="s">
        <v>833</v>
      </c>
      <c r="D138" s="360">
        <v>397198</v>
      </c>
      <c r="E138" s="360">
        <v>397198</v>
      </c>
      <c r="F138" s="360">
        <v>397556</v>
      </c>
      <c r="G138" s="360">
        <v>398125</v>
      </c>
      <c r="H138" s="360">
        <v>396929</v>
      </c>
    </row>
    <row r="139" spans="1:8" x14ac:dyDescent="0.2">
      <c r="A139" s="359" t="s">
        <v>954</v>
      </c>
      <c r="B139" s="359">
        <f t="shared" si="4"/>
        <v>134</v>
      </c>
      <c r="C139" s="359" t="s">
        <v>955</v>
      </c>
      <c r="D139" s="360">
        <v>390738</v>
      </c>
      <c r="E139" s="360">
        <v>390738</v>
      </c>
      <c r="F139" s="360">
        <v>391637</v>
      </c>
      <c r="G139" s="360">
        <v>393822</v>
      </c>
      <c r="H139" s="360">
        <v>396338</v>
      </c>
    </row>
    <row r="140" spans="1:8" x14ac:dyDescent="0.2">
      <c r="A140" s="359" t="s">
        <v>816</v>
      </c>
      <c r="B140" s="359">
        <f t="shared" si="4"/>
        <v>135</v>
      </c>
      <c r="C140" s="359" t="s">
        <v>817</v>
      </c>
      <c r="D140" s="360">
        <v>376722</v>
      </c>
      <c r="E140" s="360">
        <v>376722</v>
      </c>
      <c r="F140" s="360">
        <v>378604</v>
      </c>
      <c r="G140" s="360">
        <v>385910</v>
      </c>
      <c r="H140" s="360">
        <v>394542</v>
      </c>
    </row>
    <row r="141" spans="1:8" x14ac:dyDescent="0.2">
      <c r="A141" s="359" t="s">
        <v>324</v>
      </c>
      <c r="B141" s="359">
        <f t="shared" si="4"/>
        <v>136</v>
      </c>
      <c r="C141" s="359" t="s">
        <v>325</v>
      </c>
      <c r="D141" s="360">
        <v>380821</v>
      </c>
      <c r="E141" s="360">
        <v>380821</v>
      </c>
      <c r="F141" s="360">
        <v>383177</v>
      </c>
      <c r="G141" s="360">
        <v>388038</v>
      </c>
      <c r="H141" s="360">
        <v>392535</v>
      </c>
    </row>
    <row r="142" spans="1:8" x14ac:dyDescent="0.2">
      <c r="A142" s="359" t="s">
        <v>500</v>
      </c>
      <c r="B142" s="359">
        <f t="shared" si="4"/>
        <v>137</v>
      </c>
      <c r="C142" s="359" t="s">
        <v>501</v>
      </c>
      <c r="D142" s="360">
        <v>379690</v>
      </c>
      <c r="E142" s="360">
        <v>379690</v>
      </c>
      <c r="F142" s="360">
        <v>380245</v>
      </c>
      <c r="G142" s="360">
        <v>381226</v>
      </c>
      <c r="H142" s="360">
        <v>382630</v>
      </c>
    </row>
    <row r="143" spans="1:8" x14ac:dyDescent="0.2">
      <c r="A143" s="359" t="s">
        <v>958</v>
      </c>
      <c r="B143" s="359">
        <f t="shared" si="4"/>
        <v>138</v>
      </c>
      <c r="C143" s="359" t="s">
        <v>959</v>
      </c>
      <c r="D143" s="360">
        <v>373802</v>
      </c>
      <c r="E143" s="360">
        <v>373802</v>
      </c>
      <c r="F143" s="360">
        <v>374756</v>
      </c>
      <c r="G143" s="360">
        <v>378155</v>
      </c>
      <c r="H143" s="360">
        <v>381868</v>
      </c>
    </row>
    <row r="144" spans="1:8" x14ac:dyDescent="0.2">
      <c r="A144" s="359" t="s">
        <v>876</v>
      </c>
      <c r="B144" s="359">
        <f t="shared" si="4"/>
        <v>139</v>
      </c>
      <c r="C144" s="359" t="s">
        <v>877</v>
      </c>
      <c r="D144" s="360">
        <v>379186</v>
      </c>
      <c r="E144" s="360">
        <v>379186</v>
      </c>
      <c r="F144" s="360">
        <v>378937</v>
      </c>
      <c r="G144" s="360">
        <v>379693</v>
      </c>
      <c r="H144" s="360">
        <v>380447</v>
      </c>
    </row>
    <row r="145" spans="1:8" x14ac:dyDescent="0.2">
      <c r="A145" s="359" t="s">
        <v>612</v>
      </c>
      <c r="B145" s="359">
        <f t="shared" si="4"/>
        <v>140</v>
      </c>
      <c r="C145" s="359" t="s">
        <v>613</v>
      </c>
      <c r="D145" s="360">
        <v>370702</v>
      </c>
      <c r="E145" s="360">
        <v>370702</v>
      </c>
      <c r="F145" s="360">
        <v>371561</v>
      </c>
      <c r="G145" s="360">
        <v>375911</v>
      </c>
      <c r="H145" s="360">
        <v>379582</v>
      </c>
    </row>
    <row r="146" spans="1:8" x14ac:dyDescent="0.2">
      <c r="A146" s="359" t="s">
        <v>804</v>
      </c>
      <c r="B146" s="359">
        <f t="shared" si="4"/>
        <v>141</v>
      </c>
      <c r="C146" s="359" t="s">
        <v>805</v>
      </c>
      <c r="D146" s="360">
        <v>374536</v>
      </c>
      <c r="E146" s="360">
        <v>374529</v>
      </c>
      <c r="F146" s="360">
        <v>375183</v>
      </c>
      <c r="G146" s="360">
        <v>378562</v>
      </c>
      <c r="H146" s="360">
        <v>377149</v>
      </c>
    </row>
    <row r="147" spans="1:8" x14ac:dyDescent="0.2">
      <c r="A147" s="359" t="s">
        <v>1038</v>
      </c>
      <c r="B147" s="359">
        <f t="shared" si="4"/>
        <v>142</v>
      </c>
      <c r="C147" s="359" t="s">
        <v>1039</v>
      </c>
      <c r="D147" s="360">
        <v>367413</v>
      </c>
      <c r="E147" s="360">
        <v>368770</v>
      </c>
      <c r="F147" s="360">
        <v>369383</v>
      </c>
      <c r="G147" s="360">
        <v>371029</v>
      </c>
      <c r="H147" s="360">
        <v>375371</v>
      </c>
    </row>
    <row r="148" spans="1:8" x14ac:dyDescent="0.2">
      <c r="A148" s="359" t="s">
        <v>556</v>
      </c>
      <c r="B148" s="359">
        <f t="shared" si="4"/>
        <v>143</v>
      </c>
      <c r="C148" s="359" t="s">
        <v>557</v>
      </c>
      <c r="D148" s="360">
        <v>366383</v>
      </c>
      <c r="E148" s="360">
        <v>366383</v>
      </c>
      <c r="F148" s="360">
        <v>367744</v>
      </c>
      <c r="G148" s="360">
        <v>372788</v>
      </c>
      <c r="H148" s="360">
        <v>374585</v>
      </c>
    </row>
    <row r="149" spans="1:8" x14ac:dyDescent="0.2">
      <c r="A149" s="359" t="s">
        <v>1052</v>
      </c>
      <c r="B149" s="359">
        <f t="shared" si="4"/>
        <v>144</v>
      </c>
      <c r="C149" s="359" t="s">
        <v>1053</v>
      </c>
      <c r="D149" s="360">
        <v>366513</v>
      </c>
      <c r="E149" s="360">
        <v>366511</v>
      </c>
      <c r="F149" s="360">
        <v>367093</v>
      </c>
      <c r="G149" s="360">
        <v>367306</v>
      </c>
      <c r="H149" s="360">
        <v>368303</v>
      </c>
    </row>
    <row r="150" spans="1:8" x14ac:dyDescent="0.2">
      <c r="A150" s="359" t="s">
        <v>642</v>
      </c>
      <c r="B150" s="359">
        <f t="shared" si="4"/>
        <v>145</v>
      </c>
      <c r="C150" s="359" t="s">
        <v>643</v>
      </c>
      <c r="D150" s="360">
        <v>364908</v>
      </c>
      <c r="E150" s="360">
        <v>364908</v>
      </c>
      <c r="F150" s="360">
        <v>365008</v>
      </c>
      <c r="G150" s="360">
        <v>364742</v>
      </c>
      <c r="H150" s="360">
        <v>364665</v>
      </c>
    </row>
    <row r="151" spans="1:8" x14ac:dyDescent="0.2">
      <c r="A151" s="359" t="s">
        <v>628</v>
      </c>
      <c r="B151" s="359">
        <f t="shared" si="4"/>
        <v>146</v>
      </c>
      <c r="C151" s="359" t="s">
        <v>629</v>
      </c>
      <c r="D151" s="360">
        <v>365497</v>
      </c>
      <c r="E151" s="360">
        <v>365492</v>
      </c>
      <c r="F151" s="360">
        <v>365208</v>
      </c>
      <c r="G151" s="360">
        <v>364170</v>
      </c>
      <c r="H151" s="360">
        <v>363627</v>
      </c>
    </row>
    <row r="152" spans="1:8" x14ac:dyDescent="0.2">
      <c r="A152" s="359" t="s">
        <v>988</v>
      </c>
      <c r="B152" s="359">
        <f t="shared" si="4"/>
        <v>147</v>
      </c>
      <c r="C152" s="359" t="s">
        <v>989</v>
      </c>
      <c r="D152" s="360">
        <v>347611</v>
      </c>
      <c r="E152" s="360">
        <v>347621</v>
      </c>
      <c r="F152" s="360">
        <v>348830</v>
      </c>
      <c r="G152" s="360">
        <v>355844</v>
      </c>
      <c r="H152" s="360">
        <v>361941</v>
      </c>
    </row>
    <row r="153" spans="1:8" x14ac:dyDescent="0.2">
      <c r="A153" s="359" t="s">
        <v>546</v>
      </c>
      <c r="B153" s="359">
        <f t="shared" si="4"/>
        <v>148</v>
      </c>
      <c r="C153" s="359" t="s">
        <v>547</v>
      </c>
      <c r="D153" s="360">
        <v>351715</v>
      </c>
      <c r="E153" s="360">
        <v>351715</v>
      </c>
      <c r="F153" s="360">
        <v>351921</v>
      </c>
      <c r="G153" s="360">
        <v>353481</v>
      </c>
      <c r="H153" s="360">
        <v>354542</v>
      </c>
    </row>
    <row r="154" spans="1:8" x14ac:dyDescent="0.2">
      <c r="A154" s="359" t="s">
        <v>326</v>
      </c>
      <c r="B154" s="359">
        <f t="shared" si="4"/>
        <v>149</v>
      </c>
      <c r="C154" s="359" t="s">
        <v>327</v>
      </c>
      <c r="D154" s="360">
        <v>344791</v>
      </c>
      <c r="E154" s="360">
        <v>344791</v>
      </c>
      <c r="F154" s="360">
        <v>345350</v>
      </c>
      <c r="G154" s="360">
        <v>348637</v>
      </c>
      <c r="H154" s="360">
        <v>350946</v>
      </c>
    </row>
    <row r="155" spans="1:8" x14ac:dyDescent="0.2">
      <c r="A155" s="359" t="s">
        <v>936</v>
      </c>
      <c r="B155" s="359">
        <f t="shared" si="4"/>
        <v>150</v>
      </c>
      <c r="C155" s="359" t="s">
        <v>937</v>
      </c>
      <c r="D155" s="360">
        <v>349431</v>
      </c>
      <c r="E155" s="360">
        <v>349431</v>
      </c>
      <c r="F155" s="360">
        <v>349245</v>
      </c>
      <c r="G155" s="360">
        <v>347913</v>
      </c>
      <c r="H155" s="360">
        <v>346009</v>
      </c>
    </row>
    <row r="156" spans="1:8" x14ac:dyDescent="0.2">
      <c r="A156" s="359" t="s">
        <v>846</v>
      </c>
      <c r="B156" s="359">
        <f t="shared" si="4"/>
        <v>151</v>
      </c>
      <c r="C156" s="359" t="s">
        <v>847</v>
      </c>
      <c r="D156" s="360">
        <v>331298</v>
      </c>
      <c r="E156" s="360">
        <v>331298</v>
      </c>
      <c r="F156" s="360">
        <v>331407</v>
      </c>
      <c r="G156" s="360">
        <v>332472</v>
      </c>
      <c r="H156" s="360">
        <v>335125</v>
      </c>
    </row>
    <row r="157" spans="1:8" x14ac:dyDescent="0.2">
      <c r="A157" s="359" t="s">
        <v>820</v>
      </c>
      <c r="B157" s="359">
        <f t="shared" si="4"/>
        <v>152</v>
      </c>
      <c r="C157" s="359" t="s">
        <v>821</v>
      </c>
      <c r="D157" s="360">
        <v>321520</v>
      </c>
      <c r="E157" s="360">
        <v>321520</v>
      </c>
      <c r="F157" s="360">
        <v>322666</v>
      </c>
      <c r="G157" s="360">
        <v>327519</v>
      </c>
      <c r="H157" s="360">
        <v>332427</v>
      </c>
    </row>
    <row r="158" spans="1:8" x14ac:dyDescent="0.2">
      <c r="A158" s="359" t="s">
        <v>678</v>
      </c>
      <c r="B158" s="359">
        <f t="shared" si="4"/>
        <v>153</v>
      </c>
      <c r="C158" s="359" t="s">
        <v>679</v>
      </c>
      <c r="D158" s="360">
        <v>326589</v>
      </c>
      <c r="E158" s="360">
        <v>326589</v>
      </c>
      <c r="F158" s="360">
        <v>326911</v>
      </c>
      <c r="G158" s="360">
        <v>328353</v>
      </c>
      <c r="H158" s="360">
        <v>330034</v>
      </c>
    </row>
    <row r="159" spans="1:8" x14ac:dyDescent="0.2">
      <c r="A159" s="359" t="s">
        <v>1014</v>
      </c>
      <c r="B159" s="359">
        <f t="shared" si="4"/>
        <v>154</v>
      </c>
      <c r="C159" s="359" t="s">
        <v>1015</v>
      </c>
      <c r="D159" s="360">
        <v>319224</v>
      </c>
      <c r="E159" s="360">
        <v>319222</v>
      </c>
      <c r="F159" s="360">
        <v>319008</v>
      </c>
      <c r="G159" s="360">
        <v>319235</v>
      </c>
      <c r="H159" s="360">
        <v>318586</v>
      </c>
    </row>
    <row r="160" spans="1:8" x14ac:dyDescent="0.2">
      <c r="A160" s="359" t="s">
        <v>1016</v>
      </c>
      <c r="B160" s="359">
        <f t="shared" si="4"/>
        <v>155</v>
      </c>
      <c r="C160" s="359" t="s">
        <v>1017</v>
      </c>
      <c r="D160" s="360">
        <v>313268</v>
      </c>
      <c r="E160" s="360">
        <v>313268</v>
      </c>
      <c r="F160" s="360">
        <v>313555</v>
      </c>
      <c r="G160" s="360">
        <v>314886</v>
      </c>
      <c r="H160" s="360">
        <v>316997</v>
      </c>
    </row>
    <row r="161" spans="1:8" x14ac:dyDescent="0.2">
      <c r="A161" s="359" t="s">
        <v>548</v>
      </c>
      <c r="B161" s="359">
        <f t="shared" si="4"/>
        <v>156</v>
      </c>
      <c r="C161" s="359" t="s">
        <v>549</v>
      </c>
      <c r="D161" s="360">
        <v>311552</v>
      </c>
      <c r="E161" s="360">
        <v>311552</v>
      </c>
      <c r="F161" s="360">
        <v>311814</v>
      </c>
      <c r="G161" s="360">
        <v>312705</v>
      </c>
      <c r="H161" s="360">
        <v>313433</v>
      </c>
    </row>
    <row r="162" spans="1:8" x14ac:dyDescent="0.2">
      <c r="A162" s="359" t="s">
        <v>604</v>
      </c>
      <c r="B162" s="359">
        <f t="shared" si="4"/>
        <v>157</v>
      </c>
      <c r="C162" s="359" t="s">
        <v>605</v>
      </c>
      <c r="D162" s="360">
        <v>306241</v>
      </c>
      <c r="E162" s="360">
        <v>306241</v>
      </c>
      <c r="F162" s="360">
        <v>306775</v>
      </c>
      <c r="G162" s="360">
        <v>308761</v>
      </c>
      <c r="H162" s="360">
        <v>311098</v>
      </c>
    </row>
    <row r="163" spans="1:8" x14ac:dyDescent="0.2">
      <c r="A163" s="359" t="s">
        <v>474</v>
      </c>
      <c r="B163" s="359">
        <f t="shared" si="4"/>
        <v>158</v>
      </c>
      <c r="C163" s="359" t="s">
        <v>475</v>
      </c>
      <c r="D163" s="360">
        <v>294865</v>
      </c>
      <c r="E163" s="360">
        <v>294869</v>
      </c>
      <c r="F163" s="360">
        <v>295741</v>
      </c>
      <c r="G163" s="360">
        <v>301865</v>
      </c>
      <c r="H163" s="360">
        <v>310531</v>
      </c>
    </row>
    <row r="164" spans="1:8" x14ac:dyDescent="0.2">
      <c r="A164" s="359" t="s">
        <v>570</v>
      </c>
      <c r="B164" s="359">
        <f t="shared" si="4"/>
        <v>159</v>
      </c>
      <c r="C164" s="359" t="s">
        <v>571</v>
      </c>
      <c r="D164" s="360">
        <v>299630</v>
      </c>
      <c r="E164" s="360">
        <v>299630</v>
      </c>
      <c r="F164" s="360">
        <v>300426</v>
      </c>
      <c r="G164" s="360">
        <v>305091</v>
      </c>
      <c r="H164" s="360">
        <v>310487</v>
      </c>
    </row>
    <row r="165" spans="1:8" x14ac:dyDescent="0.2">
      <c r="A165" s="359" t="s">
        <v>732</v>
      </c>
      <c r="B165" s="359">
        <f t="shared" si="4"/>
        <v>160</v>
      </c>
      <c r="C165" s="359" t="s">
        <v>733</v>
      </c>
      <c r="D165" s="360">
        <v>302157</v>
      </c>
      <c r="E165" s="360">
        <v>302157</v>
      </c>
      <c r="F165" s="360">
        <v>302957</v>
      </c>
      <c r="G165" s="360">
        <v>306580</v>
      </c>
      <c r="H165" s="360">
        <v>310342</v>
      </c>
    </row>
    <row r="166" spans="1:8" x14ac:dyDescent="0.2">
      <c r="A166" s="359" t="s">
        <v>930</v>
      </c>
      <c r="B166" s="359">
        <f t="shared" si="4"/>
        <v>161</v>
      </c>
      <c r="C166" s="359" t="s">
        <v>931</v>
      </c>
      <c r="D166" s="360">
        <v>308707</v>
      </c>
      <c r="E166" s="360">
        <v>308707</v>
      </c>
      <c r="F166" s="360">
        <v>308660</v>
      </c>
      <c r="G166" s="360">
        <v>308999</v>
      </c>
      <c r="H166" s="360">
        <v>310118</v>
      </c>
    </row>
    <row r="167" spans="1:8" x14ac:dyDescent="0.2">
      <c r="A167" s="359" t="s">
        <v>688</v>
      </c>
      <c r="B167" s="359">
        <f t="shared" si="4"/>
        <v>162</v>
      </c>
      <c r="C167" s="359" t="s">
        <v>689</v>
      </c>
      <c r="D167" s="360">
        <v>309544</v>
      </c>
      <c r="E167" s="360">
        <v>309544</v>
      </c>
      <c r="F167" s="360">
        <v>309547</v>
      </c>
      <c r="G167" s="360">
        <v>308579</v>
      </c>
      <c r="H167" s="360">
        <v>309006</v>
      </c>
    </row>
    <row r="168" spans="1:8" x14ac:dyDescent="0.2">
      <c r="A168" s="359" t="s">
        <v>394</v>
      </c>
      <c r="B168" s="359">
        <f t="shared" si="4"/>
        <v>163</v>
      </c>
      <c r="C168" s="359" t="s">
        <v>395</v>
      </c>
      <c r="D168" s="360">
        <v>294567</v>
      </c>
      <c r="E168" s="360">
        <v>294571</v>
      </c>
      <c r="F168" s="360">
        <v>296318</v>
      </c>
      <c r="G168" s="360">
        <v>300406</v>
      </c>
      <c r="H168" s="360">
        <v>305318</v>
      </c>
    </row>
    <row r="169" spans="1:8" x14ac:dyDescent="0.2">
      <c r="A169" s="359" t="s">
        <v>1064</v>
      </c>
      <c r="B169" s="359">
        <f t="shared" si="4"/>
        <v>164</v>
      </c>
      <c r="C169" s="359" t="s">
        <v>1065</v>
      </c>
      <c r="D169" s="360">
        <v>299397</v>
      </c>
      <c r="E169" s="360">
        <v>299397</v>
      </c>
      <c r="F169" s="360">
        <v>299339</v>
      </c>
      <c r="G169" s="360">
        <v>298767</v>
      </c>
      <c r="H169" s="360">
        <v>298064</v>
      </c>
    </row>
    <row r="170" spans="1:8" x14ac:dyDescent="0.2">
      <c r="A170" s="359" t="s">
        <v>750</v>
      </c>
      <c r="B170" s="359">
        <f t="shared" si="4"/>
        <v>165</v>
      </c>
      <c r="C170" s="359" t="s">
        <v>751</v>
      </c>
      <c r="D170" s="360">
        <v>290805</v>
      </c>
      <c r="E170" s="360">
        <v>290805</v>
      </c>
      <c r="F170" s="360">
        <v>292142</v>
      </c>
      <c r="G170" s="360">
        <v>295255</v>
      </c>
      <c r="H170" s="360">
        <v>297669</v>
      </c>
    </row>
    <row r="171" spans="1:8" x14ac:dyDescent="0.2">
      <c r="A171" s="359" t="s">
        <v>544</v>
      </c>
      <c r="B171" s="359">
        <f t="shared" si="4"/>
        <v>166</v>
      </c>
      <c r="C171" s="359" t="s">
        <v>545</v>
      </c>
      <c r="D171" s="360">
        <v>280566</v>
      </c>
      <c r="E171" s="360">
        <v>280566</v>
      </c>
      <c r="F171" s="360">
        <v>280749</v>
      </c>
      <c r="G171" s="360">
        <v>280988</v>
      </c>
      <c r="H171" s="360">
        <v>280646</v>
      </c>
    </row>
    <row r="172" spans="1:8" x14ac:dyDescent="0.2">
      <c r="A172" s="359" t="s">
        <v>572</v>
      </c>
      <c r="B172" s="359">
        <f t="shared" si="4"/>
        <v>167</v>
      </c>
      <c r="C172" s="359" t="s">
        <v>573</v>
      </c>
      <c r="D172" s="360">
        <v>280467</v>
      </c>
      <c r="E172" s="360">
        <v>280468</v>
      </c>
      <c r="F172" s="360">
        <v>280712</v>
      </c>
      <c r="G172" s="360">
        <v>280866</v>
      </c>
      <c r="H172" s="360">
        <v>280521</v>
      </c>
    </row>
    <row r="173" spans="1:8" x14ac:dyDescent="0.2">
      <c r="A173" s="359" t="s">
        <v>526</v>
      </c>
      <c r="B173" s="359">
        <f t="shared" si="4"/>
        <v>168</v>
      </c>
      <c r="C173" s="359" t="s">
        <v>527</v>
      </c>
      <c r="D173" s="360">
        <v>279771</v>
      </c>
      <c r="E173" s="360">
        <v>279771</v>
      </c>
      <c r="F173" s="360">
        <v>279766</v>
      </c>
      <c r="G173" s="360">
        <v>279838</v>
      </c>
      <c r="H173" s="360">
        <v>279452</v>
      </c>
    </row>
    <row r="174" spans="1:8" x14ac:dyDescent="0.2">
      <c r="A174" s="359" t="s">
        <v>338</v>
      </c>
      <c r="B174" s="359">
        <f t="shared" si="4"/>
        <v>169</v>
      </c>
      <c r="C174" s="359" t="s">
        <v>339</v>
      </c>
      <c r="D174" s="360">
        <v>274549</v>
      </c>
      <c r="E174" s="360">
        <v>274549</v>
      </c>
      <c r="F174" s="360">
        <v>274715</v>
      </c>
      <c r="G174" s="360">
        <v>274810</v>
      </c>
      <c r="H174" s="360">
        <v>275422</v>
      </c>
    </row>
    <row r="175" spans="1:8" x14ac:dyDescent="0.2">
      <c r="A175" s="359" t="s">
        <v>978</v>
      </c>
      <c r="B175" s="359">
        <f t="shared" si="4"/>
        <v>170</v>
      </c>
      <c r="C175" s="359" t="s">
        <v>979</v>
      </c>
      <c r="D175" s="360">
        <v>269637</v>
      </c>
      <c r="E175" s="360">
        <v>269637</v>
      </c>
      <c r="F175" s="360">
        <v>269954</v>
      </c>
      <c r="G175" s="360">
        <v>271345</v>
      </c>
      <c r="H175" s="360">
        <v>274804</v>
      </c>
    </row>
    <row r="176" spans="1:8" x14ac:dyDescent="0.2">
      <c r="A176" s="359" t="s">
        <v>458</v>
      </c>
      <c r="B176" s="359">
        <f t="shared" si="4"/>
        <v>171</v>
      </c>
      <c r="C176" s="359" t="s">
        <v>459</v>
      </c>
      <c r="D176" s="360">
        <v>260625</v>
      </c>
      <c r="E176" s="360">
        <v>260625</v>
      </c>
      <c r="F176" s="360">
        <v>261868</v>
      </c>
      <c r="G176" s="360">
        <v>264625</v>
      </c>
      <c r="H176" s="360">
        <v>274342</v>
      </c>
    </row>
    <row r="177" spans="1:8" x14ac:dyDescent="0.2">
      <c r="A177" s="359" t="s">
        <v>844</v>
      </c>
      <c r="B177" s="359">
        <f t="shared" si="4"/>
        <v>172</v>
      </c>
      <c r="C177" s="359" t="s">
        <v>845</v>
      </c>
      <c r="D177" s="360">
        <v>274055</v>
      </c>
      <c r="E177" s="360">
        <v>274055</v>
      </c>
      <c r="F177" s="360">
        <v>274092</v>
      </c>
      <c r="G177" s="360">
        <v>274091</v>
      </c>
      <c r="H177" s="360">
        <v>274170</v>
      </c>
    </row>
    <row r="178" spans="1:8" x14ac:dyDescent="0.2">
      <c r="A178" s="359" t="s">
        <v>684</v>
      </c>
      <c r="B178" s="359">
        <f t="shared" si="4"/>
        <v>173</v>
      </c>
      <c r="C178" s="359" t="s">
        <v>685</v>
      </c>
      <c r="D178" s="360">
        <v>253340</v>
      </c>
      <c r="E178" s="360">
        <v>253340</v>
      </c>
      <c r="F178" s="360">
        <v>255626</v>
      </c>
      <c r="G178" s="360">
        <v>263703</v>
      </c>
      <c r="H178" s="360">
        <v>268243</v>
      </c>
    </row>
    <row r="179" spans="1:8" x14ac:dyDescent="0.2">
      <c r="A179" s="359" t="s">
        <v>580</v>
      </c>
      <c r="B179" s="359">
        <f t="shared" si="4"/>
        <v>174</v>
      </c>
      <c r="C179" s="359" t="s">
        <v>581</v>
      </c>
      <c r="D179" s="360">
        <v>264275</v>
      </c>
      <c r="E179" s="360">
        <v>264275</v>
      </c>
      <c r="F179" s="360">
        <v>264470</v>
      </c>
      <c r="G179" s="360">
        <v>266392</v>
      </c>
      <c r="H179" s="360">
        <v>268232</v>
      </c>
    </row>
    <row r="180" spans="1:8" x14ac:dyDescent="0.2">
      <c r="A180" s="359" t="s">
        <v>980</v>
      </c>
      <c r="B180" s="359">
        <f t="shared" si="4"/>
        <v>175</v>
      </c>
      <c r="C180" s="359" t="s">
        <v>981</v>
      </c>
      <c r="D180" s="360">
        <v>262382</v>
      </c>
      <c r="E180" s="360">
        <v>262382</v>
      </c>
      <c r="F180" s="360">
        <v>263435</v>
      </c>
      <c r="G180" s="360">
        <v>264961</v>
      </c>
      <c r="H180" s="360">
        <v>266776</v>
      </c>
    </row>
    <row r="181" spans="1:8" x14ac:dyDescent="0.2">
      <c r="A181" s="359" t="s">
        <v>602</v>
      </c>
      <c r="B181" s="359"/>
      <c r="C181" s="359" t="s">
        <v>603</v>
      </c>
      <c r="D181" s="360">
        <v>252825</v>
      </c>
      <c r="E181" s="360">
        <v>252825</v>
      </c>
      <c r="F181" s="360">
        <v>254081</v>
      </c>
      <c r="G181" s="360">
        <v>258351</v>
      </c>
      <c r="H181" s="360">
        <v>263691</v>
      </c>
    </row>
    <row r="182" spans="1:8" x14ac:dyDescent="0.2">
      <c r="A182" s="359" t="s">
        <v>1108</v>
      </c>
      <c r="B182" s="359"/>
      <c r="C182" s="359" t="s">
        <v>1109</v>
      </c>
      <c r="D182" s="360">
        <v>254884</v>
      </c>
      <c r="E182" s="360">
        <v>254884</v>
      </c>
      <c r="F182" s="360">
        <v>255684</v>
      </c>
      <c r="G182" s="360">
        <v>259431</v>
      </c>
      <c r="H182" s="360">
        <v>263429</v>
      </c>
    </row>
    <row r="183" spans="1:8" x14ac:dyDescent="0.2">
      <c r="A183" s="359" t="s">
        <v>774</v>
      </c>
      <c r="B183" s="359"/>
      <c r="C183" s="359" t="s">
        <v>775</v>
      </c>
      <c r="D183" s="360">
        <v>255793</v>
      </c>
      <c r="E183" s="360">
        <v>255793</v>
      </c>
      <c r="F183" s="360">
        <v>256877</v>
      </c>
      <c r="G183" s="360">
        <v>259966</v>
      </c>
      <c r="H183" s="360">
        <v>262305</v>
      </c>
    </row>
    <row r="184" spans="1:8" x14ac:dyDescent="0.2">
      <c r="A184" s="359" t="s">
        <v>426</v>
      </c>
      <c r="B184" s="359"/>
      <c r="C184" s="359" t="s">
        <v>427</v>
      </c>
      <c r="D184" s="360">
        <v>257940</v>
      </c>
      <c r="E184" s="360">
        <v>257940</v>
      </c>
      <c r="F184" s="360">
        <v>258364</v>
      </c>
      <c r="G184" s="360">
        <v>260893</v>
      </c>
      <c r="H184" s="360">
        <v>261761</v>
      </c>
    </row>
    <row r="185" spans="1:8" x14ac:dyDescent="0.2">
      <c r="A185" s="359" t="s">
        <v>712</v>
      </c>
      <c r="B185" s="359"/>
      <c r="C185" s="359" t="s">
        <v>713</v>
      </c>
      <c r="D185" s="360">
        <v>250304</v>
      </c>
      <c r="E185" s="360">
        <v>250304</v>
      </c>
      <c r="F185" s="360">
        <v>251284</v>
      </c>
      <c r="G185" s="360">
        <v>254948</v>
      </c>
      <c r="H185" s="360">
        <v>259172</v>
      </c>
    </row>
    <row r="186" spans="1:8" x14ac:dyDescent="0.2">
      <c r="A186" s="359" t="s">
        <v>856</v>
      </c>
      <c r="B186" s="359"/>
      <c r="C186" s="359" t="s">
        <v>857</v>
      </c>
      <c r="D186" s="360">
        <v>252264</v>
      </c>
      <c r="E186" s="360">
        <v>252264</v>
      </c>
      <c r="F186" s="360">
        <v>253043</v>
      </c>
      <c r="G186" s="360">
        <v>256406</v>
      </c>
      <c r="H186" s="360">
        <v>258332</v>
      </c>
    </row>
    <row r="187" spans="1:8" x14ac:dyDescent="0.2">
      <c r="A187" s="359" t="s">
        <v>320</v>
      </c>
      <c r="B187" s="359"/>
      <c r="C187" s="359" t="s">
        <v>321</v>
      </c>
      <c r="D187" s="360">
        <v>251933</v>
      </c>
      <c r="E187" s="360">
        <v>251933</v>
      </c>
      <c r="F187" s="360">
        <v>252686</v>
      </c>
      <c r="G187" s="360">
        <v>255781</v>
      </c>
      <c r="H187" s="360">
        <v>257578</v>
      </c>
    </row>
    <row r="188" spans="1:8" x14ac:dyDescent="0.2">
      <c r="A188" s="359" t="s">
        <v>1078</v>
      </c>
      <c r="B188" s="359"/>
      <c r="C188" s="359" t="s">
        <v>1079</v>
      </c>
      <c r="D188" s="360">
        <v>252772</v>
      </c>
      <c r="E188" s="360">
        <v>252772</v>
      </c>
      <c r="F188" s="360">
        <v>253759</v>
      </c>
      <c r="G188" s="360">
        <v>255656</v>
      </c>
      <c r="H188" s="360">
        <v>256317</v>
      </c>
    </row>
    <row r="189" spans="1:8" x14ac:dyDescent="0.2">
      <c r="A189" s="359" t="s">
        <v>614</v>
      </c>
      <c r="B189" s="359"/>
      <c r="C189" s="359" t="s">
        <v>615</v>
      </c>
      <c r="D189" s="360">
        <v>251599</v>
      </c>
      <c r="E189" s="360">
        <v>251599</v>
      </c>
      <c r="F189" s="360">
        <v>252495</v>
      </c>
      <c r="G189" s="360">
        <v>254601</v>
      </c>
      <c r="H189" s="360">
        <v>256278</v>
      </c>
    </row>
    <row r="190" spans="1:8" x14ac:dyDescent="0.2">
      <c r="A190" s="359" t="s">
        <v>752</v>
      </c>
      <c r="B190" s="359"/>
      <c r="C190" s="359" t="s">
        <v>753</v>
      </c>
      <c r="D190" s="360">
        <v>252634</v>
      </c>
      <c r="E190" s="360">
        <v>252638</v>
      </c>
      <c r="F190" s="360">
        <v>252689</v>
      </c>
      <c r="G190" s="360">
        <v>254031</v>
      </c>
      <c r="H190" s="360">
        <v>255342</v>
      </c>
    </row>
    <row r="191" spans="1:8" x14ac:dyDescent="0.2">
      <c r="A191" s="359" t="s">
        <v>398</v>
      </c>
      <c r="B191" s="359"/>
      <c r="C191" s="359" t="s">
        <v>399</v>
      </c>
      <c r="D191" s="360">
        <v>251133</v>
      </c>
      <c r="E191" s="360">
        <v>251133</v>
      </c>
      <c r="F191" s="360">
        <v>251769</v>
      </c>
      <c r="G191" s="360">
        <v>254529</v>
      </c>
      <c r="H191" s="360">
        <v>254991</v>
      </c>
    </row>
    <row r="192" spans="1:8" x14ac:dyDescent="0.2">
      <c r="A192" s="359" t="s">
        <v>370</v>
      </c>
      <c r="B192" s="359"/>
      <c r="C192" s="359" t="s">
        <v>371</v>
      </c>
      <c r="D192" s="360">
        <v>251725</v>
      </c>
      <c r="E192" s="360">
        <v>251725</v>
      </c>
      <c r="F192" s="360">
        <v>251443</v>
      </c>
      <c r="G192" s="360">
        <v>250293</v>
      </c>
      <c r="H192" s="360">
        <v>248538</v>
      </c>
    </row>
    <row r="193" spans="1:8" x14ac:dyDescent="0.2">
      <c r="A193" s="359" t="s">
        <v>484</v>
      </c>
      <c r="B193" s="359"/>
      <c r="C193" s="359" t="s">
        <v>485</v>
      </c>
      <c r="D193" s="360">
        <v>235865</v>
      </c>
      <c r="E193" s="360">
        <v>235865</v>
      </c>
      <c r="F193" s="360">
        <v>236058</v>
      </c>
      <c r="G193" s="360">
        <v>239021</v>
      </c>
      <c r="H193" s="360">
        <v>247665</v>
      </c>
    </row>
    <row r="194" spans="1:8" x14ac:dyDescent="0.2">
      <c r="A194" s="359" t="s">
        <v>1116</v>
      </c>
      <c r="B194" s="359"/>
      <c r="C194" s="359" t="s">
        <v>1117</v>
      </c>
      <c r="D194" s="360">
        <v>243231</v>
      </c>
      <c r="E194" s="360">
        <v>243231</v>
      </c>
      <c r="F194" s="360">
        <v>244258</v>
      </c>
      <c r="G194" s="360">
        <v>246157</v>
      </c>
      <c r="H194" s="360">
        <v>246977</v>
      </c>
    </row>
    <row r="195" spans="1:8" x14ac:dyDescent="0.2">
      <c r="A195" s="359" t="s">
        <v>1012</v>
      </c>
      <c r="B195" s="359"/>
      <c r="C195" s="359" t="s">
        <v>1013</v>
      </c>
      <c r="D195" s="360">
        <v>228261</v>
      </c>
      <c r="E195" s="360">
        <v>228264</v>
      </c>
      <c r="F195" s="360">
        <v>229173</v>
      </c>
      <c r="G195" s="360">
        <v>232446</v>
      </c>
      <c r="H195" s="360">
        <v>237251</v>
      </c>
    </row>
    <row r="196" spans="1:8" x14ac:dyDescent="0.2">
      <c r="A196" s="359" t="s">
        <v>1050</v>
      </c>
      <c r="B196" s="359"/>
      <c r="C196" s="359" t="s">
        <v>1051</v>
      </c>
      <c r="D196" s="360">
        <v>233870</v>
      </c>
      <c r="E196" s="360">
        <v>233868</v>
      </c>
      <c r="F196" s="360">
        <v>234263</v>
      </c>
      <c r="G196" s="360">
        <v>234720</v>
      </c>
      <c r="H196" s="360">
        <v>234566</v>
      </c>
    </row>
    <row r="197" spans="1:8" x14ac:dyDescent="0.2">
      <c r="A197" s="359" t="s">
        <v>466</v>
      </c>
      <c r="B197" s="359"/>
      <c r="C197" s="359" t="s">
        <v>467</v>
      </c>
      <c r="D197" s="360">
        <v>228660</v>
      </c>
      <c r="E197" s="360">
        <v>228660</v>
      </c>
      <c r="F197" s="360">
        <v>229483</v>
      </c>
      <c r="G197" s="360">
        <v>231462</v>
      </c>
      <c r="H197" s="360">
        <v>234501</v>
      </c>
    </row>
    <row r="198" spans="1:8" x14ac:dyDescent="0.2">
      <c r="A198" s="359" t="s">
        <v>430</v>
      </c>
      <c r="B198" s="359"/>
      <c r="C198" s="359" t="s">
        <v>431</v>
      </c>
      <c r="D198" s="360">
        <v>231891</v>
      </c>
      <c r="E198" s="360">
        <v>231891</v>
      </c>
      <c r="F198" s="360">
        <v>232230</v>
      </c>
      <c r="G198" s="360">
        <v>233055</v>
      </c>
      <c r="H198" s="360">
        <v>233788</v>
      </c>
    </row>
    <row r="199" spans="1:8" x14ac:dyDescent="0.2">
      <c r="A199" s="359" t="s">
        <v>1058</v>
      </c>
      <c r="B199" s="359"/>
      <c r="C199" s="359" t="s">
        <v>1059</v>
      </c>
      <c r="D199" s="360">
        <v>230162</v>
      </c>
      <c r="E199" s="360">
        <v>230159</v>
      </c>
      <c r="F199" s="360">
        <v>230365</v>
      </c>
      <c r="G199" s="360">
        <v>231560</v>
      </c>
      <c r="H199" s="360">
        <v>233389</v>
      </c>
    </row>
    <row r="200" spans="1:8" x14ac:dyDescent="0.2">
      <c r="A200" s="359" t="s">
        <v>754</v>
      </c>
      <c r="B200" s="359"/>
      <c r="C200" s="359" t="s">
        <v>755</v>
      </c>
      <c r="D200" s="360">
        <v>232293</v>
      </c>
      <c r="E200" s="360">
        <v>232293</v>
      </c>
      <c r="F200" s="360">
        <v>232342</v>
      </c>
      <c r="G200" s="360">
        <v>232849</v>
      </c>
      <c r="H200" s="360">
        <v>232723</v>
      </c>
    </row>
    <row r="201" spans="1:8" x14ac:dyDescent="0.2">
      <c r="A201" s="359" t="s">
        <v>330</v>
      </c>
      <c r="B201" s="359"/>
      <c r="C201" s="359" t="s">
        <v>331</v>
      </c>
      <c r="D201" s="360">
        <v>225666</v>
      </c>
      <c r="E201" s="360">
        <v>225666</v>
      </c>
      <c r="F201" s="360">
        <v>225886</v>
      </c>
      <c r="G201" s="360">
        <v>227318</v>
      </c>
      <c r="H201" s="360">
        <v>228450</v>
      </c>
    </row>
    <row r="202" spans="1:8" x14ac:dyDescent="0.2">
      <c r="A202" s="359" t="s">
        <v>432</v>
      </c>
      <c r="B202" s="359"/>
      <c r="C202" s="359" t="s">
        <v>433</v>
      </c>
      <c r="D202" s="360">
        <v>227078</v>
      </c>
      <c r="E202" s="360">
        <v>227071</v>
      </c>
      <c r="F202" s="360">
        <v>226947</v>
      </c>
      <c r="G202" s="360">
        <v>225977</v>
      </c>
      <c r="H202" s="360">
        <v>225954</v>
      </c>
    </row>
    <row r="203" spans="1:8" x14ac:dyDescent="0.2">
      <c r="A203" s="359" t="s">
        <v>438</v>
      </c>
      <c r="B203" s="359"/>
      <c r="C203" s="359" t="s">
        <v>439</v>
      </c>
      <c r="D203" s="360">
        <v>218705</v>
      </c>
      <c r="E203" s="360">
        <v>218705</v>
      </c>
      <c r="F203" s="360">
        <v>219094</v>
      </c>
      <c r="G203" s="360">
        <v>221101</v>
      </c>
      <c r="H203" s="360">
        <v>222860</v>
      </c>
    </row>
    <row r="204" spans="1:8" x14ac:dyDescent="0.2">
      <c r="A204" s="359" t="s">
        <v>454</v>
      </c>
      <c r="B204" s="359"/>
      <c r="C204" s="359" t="s">
        <v>455</v>
      </c>
      <c r="D204" s="360">
        <v>220000</v>
      </c>
      <c r="E204" s="360">
        <v>220000</v>
      </c>
      <c r="F204" s="360">
        <v>219968</v>
      </c>
      <c r="G204" s="360">
        <v>220188</v>
      </c>
      <c r="H204" s="360">
        <v>221539</v>
      </c>
    </row>
    <row r="205" spans="1:8" x14ac:dyDescent="0.2">
      <c r="A205" s="359" t="s">
        <v>738</v>
      </c>
      <c r="B205" s="359"/>
      <c r="C205" s="359" t="s">
        <v>739</v>
      </c>
      <c r="D205" s="360">
        <v>214369</v>
      </c>
      <c r="E205" s="360">
        <v>214378</v>
      </c>
      <c r="F205" s="360">
        <v>214586</v>
      </c>
      <c r="G205" s="360">
        <v>215798</v>
      </c>
      <c r="H205" s="360">
        <v>216679</v>
      </c>
    </row>
    <row r="206" spans="1:8" x14ac:dyDescent="0.2">
      <c r="A206" s="359" t="s">
        <v>552</v>
      </c>
      <c r="B206" s="359"/>
      <c r="C206" s="359" t="s">
        <v>553</v>
      </c>
      <c r="D206" s="360">
        <v>208777</v>
      </c>
      <c r="E206" s="360">
        <v>208777</v>
      </c>
      <c r="F206" s="360">
        <v>209416</v>
      </c>
      <c r="G206" s="360">
        <v>212586</v>
      </c>
      <c r="H206" s="360">
        <v>216312</v>
      </c>
    </row>
    <row r="207" spans="1:8" x14ac:dyDescent="0.2">
      <c r="A207" s="359" t="s">
        <v>352</v>
      </c>
      <c r="B207" s="359"/>
      <c r="C207" s="359" t="s">
        <v>353</v>
      </c>
      <c r="D207" s="360">
        <v>215888</v>
      </c>
      <c r="E207" s="360">
        <v>215888</v>
      </c>
      <c r="F207" s="360">
        <v>215959</v>
      </c>
      <c r="G207" s="360">
        <v>215662</v>
      </c>
      <c r="H207" s="360">
        <v>215423</v>
      </c>
    </row>
    <row r="208" spans="1:8" x14ac:dyDescent="0.2">
      <c r="A208" s="359" t="s">
        <v>1060</v>
      </c>
      <c r="B208" s="359"/>
      <c r="C208" s="359" t="s">
        <v>1061</v>
      </c>
      <c r="D208" s="360">
        <v>209714</v>
      </c>
      <c r="E208" s="360">
        <v>209714</v>
      </c>
      <c r="F208" s="360">
        <v>210406</v>
      </c>
      <c r="G208" s="360">
        <v>212855</v>
      </c>
      <c r="H208" s="360">
        <v>214821</v>
      </c>
    </row>
    <row r="209" spans="1:8" x14ac:dyDescent="0.2">
      <c r="A209" s="359" t="s">
        <v>714</v>
      </c>
      <c r="B209" s="359"/>
      <c r="C209" s="359" t="s">
        <v>715</v>
      </c>
      <c r="D209" s="360">
        <v>209233</v>
      </c>
      <c r="E209" s="360">
        <v>209234</v>
      </c>
      <c r="F209" s="360">
        <v>210325</v>
      </c>
      <c r="G209" s="360">
        <v>212944</v>
      </c>
      <c r="H209" s="360">
        <v>214445</v>
      </c>
    </row>
    <row r="210" spans="1:8" x14ac:dyDescent="0.2">
      <c r="A210" s="359" t="s">
        <v>410</v>
      </c>
      <c r="B210" s="359"/>
      <c r="C210" s="359" t="s">
        <v>411</v>
      </c>
      <c r="D210" s="360">
        <v>211261</v>
      </c>
      <c r="E210" s="360">
        <v>211262</v>
      </c>
      <c r="F210" s="360">
        <v>211558</v>
      </c>
      <c r="G210" s="360">
        <v>212875</v>
      </c>
      <c r="H210" s="360">
        <v>213701</v>
      </c>
    </row>
    <row r="211" spans="1:8" x14ac:dyDescent="0.2">
      <c r="A211" s="359" t="s">
        <v>904</v>
      </c>
      <c r="B211" s="359"/>
      <c r="C211" s="359" t="s">
        <v>905</v>
      </c>
      <c r="D211" s="360">
        <v>211033</v>
      </c>
      <c r="E211" s="360">
        <v>211033</v>
      </c>
      <c r="F211" s="360">
        <v>210249</v>
      </c>
      <c r="G211" s="360">
        <v>211130</v>
      </c>
      <c r="H211" s="360">
        <v>212637</v>
      </c>
    </row>
    <row r="212" spans="1:8" x14ac:dyDescent="0.2">
      <c r="A212" s="359" t="s">
        <v>1020</v>
      </c>
      <c r="B212" s="359"/>
      <c r="C212" s="359" t="s">
        <v>1021</v>
      </c>
      <c r="D212" s="360">
        <v>210170</v>
      </c>
      <c r="E212" s="360">
        <v>210170</v>
      </c>
      <c r="F212" s="360">
        <v>210573</v>
      </c>
      <c r="G212" s="360">
        <v>211669</v>
      </c>
      <c r="H212" s="360">
        <v>211993</v>
      </c>
    </row>
    <row r="213" spans="1:8" x14ac:dyDescent="0.2">
      <c r="A213" s="359" t="s">
        <v>932</v>
      </c>
      <c r="B213" s="359"/>
      <c r="C213" s="359" t="s">
        <v>933</v>
      </c>
      <c r="D213" s="360">
        <v>206877</v>
      </c>
      <c r="E213" s="360">
        <v>206877</v>
      </c>
      <c r="F213" s="360">
        <v>207137</v>
      </c>
      <c r="G213" s="360">
        <v>208446</v>
      </c>
      <c r="H213" s="360">
        <v>209607</v>
      </c>
    </row>
    <row r="214" spans="1:8" x14ac:dyDescent="0.2">
      <c r="A214" s="359" t="s">
        <v>638</v>
      </c>
      <c r="B214" s="359"/>
      <c r="C214" s="359" t="s">
        <v>639</v>
      </c>
      <c r="D214" s="360">
        <v>208178</v>
      </c>
      <c r="E214" s="360">
        <v>208178</v>
      </c>
      <c r="F214" s="360">
        <v>208192</v>
      </c>
      <c r="G214" s="360">
        <v>208657</v>
      </c>
      <c r="H214" s="360">
        <v>208922</v>
      </c>
    </row>
    <row r="215" spans="1:8" x14ac:dyDescent="0.2">
      <c r="A215" s="359" t="s">
        <v>700</v>
      </c>
      <c r="B215" s="359"/>
      <c r="C215" s="359" t="s">
        <v>701</v>
      </c>
      <c r="D215" s="360">
        <v>201789</v>
      </c>
      <c r="E215" s="360">
        <v>201789</v>
      </c>
      <c r="F215" s="360">
        <v>201952</v>
      </c>
      <c r="G215" s="360">
        <v>204098</v>
      </c>
      <c r="H215" s="360">
        <v>206412</v>
      </c>
    </row>
    <row r="216" spans="1:8" x14ac:dyDescent="0.2">
      <c r="A216" s="359" t="s">
        <v>770</v>
      </c>
      <c r="B216" s="359"/>
      <c r="C216" s="359" t="s">
        <v>771</v>
      </c>
      <c r="D216" s="360">
        <v>203206</v>
      </c>
      <c r="E216" s="360">
        <v>203206</v>
      </c>
      <c r="F216" s="360">
        <v>203474</v>
      </c>
      <c r="G216" s="360">
        <v>204718</v>
      </c>
      <c r="H216" s="360">
        <v>206412</v>
      </c>
    </row>
    <row r="217" spans="1:8" x14ac:dyDescent="0.2">
      <c r="A217" s="359" t="s">
        <v>564</v>
      </c>
      <c r="B217" s="359"/>
      <c r="C217" s="359" t="s">
        <v>565</v>
      </c>
      <c r="D217" s="360">
        <v>205566</v>
      </c>
      <c r="E217" s="360">
        <v>205562</v>
      </c>
      <c r="F217" s="360">
        <v>205645</v>
      </c>
      <c r="G217" s="360">
        <v>205711</v>
      </c>
      <c r="H217" s="360">
        <v>206087</v>
      </c>
    </row>
    <row r="218" spans="1:8" x14ac:dyDescent="0.2">
      <c r="A218" s="359" t="s">
        <v>364</v>
      </c>
      <c r="B218" s="359"/>
      <c r="C218" s="359" t="s">
        <v>365</v>
      </c>
      <c r="D218" s="360">
        <v>201140</v>
      </c>
      <c r="E218" s="360">
        <v>201140</v>
      </c>
      <c r="F218" s="360">
        <v>201614</v>
      </c>
      <c r="G218" s="360">
        <v>203570</v>
      </c>
      <c r="H218" s="360">
        <v>205262</v>
      </c>
    </row>
    <row r="219" spans="1:8" x14ac:dyDescent="0.2">
      <c r="A219" s="359" t="s">
        <v>704</v>
      </c>
      <c r="B219" s="359"/>
      <c r="C219" s="359" t="s">
        <v>705</v>
      </c>
      <c r="D219" s="360">
        <v>200186</v>
      </c>
      <c r="E219" s="360">
        <v>200186</v>
      </c>
      <c r="F219" s="360">
        <v>200380</v>
      </c>
      <c r="G219" s="360">
        <v>202592</v>
      </c>
      <c r="H219" s="360">
        <v>203334</v>
      </c>
    </row>
    <row r="220" spans="1:8" x14ac:dyDescent="0.2">
      <c r="A220" s="359" t="s">
        <v>702</v>
      </c>
      <c r="B220" s="359"/>
      <c r="C220" s="359" t="s">
        <v>703</v>
      </c>
      <c r="D220" s="360">
        <v>199607</v>
      </c>
      <c r="E220" s="360">
        <v>199607</v>
      </c>
      <c r="F220" s="360">
        <v>200050</v>
      </c>
      <c r="G220" s="360">
        <v>200589</v>
      </c>
      <c r="H220" s="360">
        <v>201195</v>
      </c>
    </row>
    <row r="221" spans="1:8" x14ac:dyDescent="0.2">
      <c r="A221" s="359" t="s">
        <v>668</v>
      </c>
      <c r="B221" s="359"/>
      <c r="C221" s="359" t="s">
        <v>669</v>
      </c>
      <c r="D221" s="360">
        <v>198716</v>
      </c>
      <c r="E221" s="360">
        <v>198716</v>
      </c>
      <c r="F221" s="360">
        <v>198966</v>
      </c>
      <c r="G221" s="360">
        <v>199701</v>
      </c>
      <c r="H221" s="360">
        <v>200684</v>
      </c>
    </row>
    <row r="222" spans="1:8" x14ac:dyDescent="0.2">
      <c r="A222" s="359" t="s">
        <v>1124</v>
      </c>
      <c r="B222" s="359"/>
      <c r="C222" s="359" t="s">
        <v>1125</v>
      </c>
      <c r="D222" s="360">
        <v>195751</v>
      </c>
      <c r="E222" s="360">
        <v>195750</v>
      </c>
      <c r="F222" s="360">
        <v>196786</v>
      </c>
      <c r="G222" s="360">
        <v>200374</v>
      </c>
      <c r="H222" s="360">
        <v>200022</v>
      </c>
    </row>
    <row r="223" spans="1:8" x14ac:dyDescent="0.2">
      <c r="A223" s="359" t="s">
        <v>538</v>
      </c>
      <c r="B223" s="359"/>
      <c r="C223" s="359" t="s">
        <v>539</v>
      </c>
      <c r="D223" s="360">
        <v>197559</v>
      </c>
      <c r="E223" s="360">
        <v>197561</v>
      </c>
      <c r="F223" s="360">
        <v>197476</v>
      </c>
      <c r="G223" s="360">
        <v>198700</v>
      </c>
      <c r="H223" s="360">
        <v>199619</v>
      </c>
    </row>
    <row r="224" spans="1:8" x14ac:dyDescent="0.2">
      <c r="A224" s="359" t="s">
        <v>944</v>
      </c>
      <c r="B224" s="359"/>
      <c r="C224" s="359" t="s">
        <v>945</v>
      </c>
      <c r="D224" s="360">
        <v>200169</v>
      </c>
      <c r="E224" s="360">
        <v>200169</v>
      </c>
      <c r="F224" s="360">
        <v>199940</v>
      </c>
      <c r="G224" s="360">
        <v>198990</v>
      </c>
      <c r="H224" s="360">
        <v>198353</v>
      </c>
    </row>
    <row r="225" spans="1:8" x14ac:dyDescent="0.2">
      <c r="A225" s="359" t="s">
        <v>334</v>
      </c>
      <c r="B225" s="359"/>
      <c r="C225" s="359" t="s">
        <v>335</v>
      </c>
      <c r="D225" s="360">
        <v>192541</v>
      </c>
      <c r="E225" s="360">
        <v>192541</v>
      </c>
      <c r="F225" s="360">
        <v>193538</v>
      </c>
      <c r="G225" s="360">
        <v>194616</v>
      </c>
      <c r="H225" s="360">
        <v>196425</v>
      </c>
    </row>
    <row r="226" spans="1:8" x14ac:dyDescent="0.2">
      <c r="A226" s="359" t="s">
        <v>914</v>
      </c>
      <c r="B226" s="359"/>
      <c r="C226" s="359" t="s">
        <v>915</v>
      </c>
      <c r="D226" s="360">
        <v>195408</v>
      </c>
      <c r="E226" s="360">
        <v>195408</v>
      </c>
      <c r="F226" s="360">
        <v>195447</v>
      </c>
      <c r="G226" s="360">
        <v>195014</v>
      </c>
      <c r="H226" s="360">
        <v>194797</v>
      </c>
    </row>
    <row r="227" spans="1:8" x14ac:dyDescent="0.2">
      <c r="A227" s="359" t="s">
        <v>630</v>
      </c>
      <c r="B227" s="359"/>
      <c r="C227" s="359" t="s">
        <v>631</v>
      </c>
      <c r="D227" s="360">
        <v>187010</v>
      </c>
      <c r="E227" s="360">
        <v>187010</v>
      </c>
      <c r="F227" s="360">
        <v>187923</v>
      </c>
      <c r="G227" s="360">
        <v>189749</v>
      </c>
      <c r="H227" s="360">
        <v>193882</v>
      </c>
    </row>
    <row r="228" spans="1:8" x14ac:dyDescent="0.2">
      <c r="A228" s="359" t="s">
        <v>498</v>
      </c>
      <c r="B228" s="359"/>
      <c r="C228" s="359" t="s">
        <v>499</v>
      </c>
      <c r="D228" s="360">
        <v>182265</v>
      </c>
      <c r="E228" s="360">
        <v>182265</v>
      </c>
      <c r="F228" s="360">
        <v>183275</v>
      </c>
      <c r="G228" s="360">
        <v>186830</v>
      </c>
      <c r="H228" s="360">
        <v>190790</v>
      </c>
    </row>
    <row r="229" spans="1:8" x14ac:dyDescent="0.2">
      <c r="A229" s="359" t="s">
        <v>946</v>
      </c>
      <c r="B229" s="359"/>
      <c r="C229" s="359" t="s">
        <v>947</v>
      </c>
      <c r="D229" s="360">
        <v>189093</v>
      </c>
      <c r="E229" s="360">
        <v>189093</v>
      </c>
      <c r="F229" s="360">
        <v>189208</v>
      </c>
      <c r="G229" s="360">
        <v>190036</v>
      </c>
      <c r="H229" s="360">
        <v>190471</v>
      </c>
    </row>
    <row r="230" spans="1:8" x14ac:dyDescent="0.2">
      <c r="A230" s="359" t="s">
        <v>378</v>
      </c>
      <c r="B230" s="359"/>
      <c r="C230" s="359" t="s">
        <v>379</v>
      </c>
      <c r="D230" s="360">
        <v>186133</v>
      </c>
      <c r="E230" s="360">
        <v>186133</v>
      </c>
      <c r="F230" s="360">
        <v>186447</v>
      </c>
      <c r="G230" s="360">
        <v>187267</v>
      </c>
      <c r="H230" s="360">
        <v>188715</v>
      </c>
    </row>
    <row r="231" spans="1:8" x14ac:dyDescent="0.2">
      <c r="A231" s="359" t="s">
        <v>870</v>
      </c>
      <c r="B231" s="359"/>
      <c r="C231" s="359" t="s">
        <v>871</v>
      </c>
      <c r="D231" s="360">
        <v>184715</v>
      </c>
      <c r="E231" s="360">
        <v>184715</v>
      </c>
      <c r="F231" s="360">
        <v>185128</v>
      </c>
      <c r="G231" s="360">
        <v>185500</v>
      </c>
      <c r="H231" s="360">
        <v>187621</v>
      </c>
    </row>
    <row r="232" spans="1:8" x14ac:dyDescent="0.2">
      <c r="A232" s="359" t="s">
        <v>1082</v>
      </c>
      <c r="B232" s="359"/>
      <c r="C232" s="359" t="s">
        <v>1083</v>
      </c>
      <c r="D232" s="360">
        <v>179605</v>
      </c>
      <c r="E232" s="360">
        <v>179605</v>
      </c>
      <c r="F232" s="360">
        <v>180452</v>
      </c>
      <c r="G232" s="360">
        <v>183644</v>
      </c>
      <c r="H232" s="360">
        <v>185478</v>
      </c>
    </row>
    <row r="233" spans="1:8" x14ac:dyDescent="0.2">
      <c r="A233" s="359" t="s">
        <v>582</v>
      </c>
      <c r="B233" s="359"/>
      <c r="C233" s="359" t="s">
        <v>583</v>
      </c>
      <c r="D233" s="360">
        <v>179684</v>
      </c>
      <c r="E233" s="360">
        <v>179684</v>
      </c>
      <c r="F233" s="360">
        <v>179992</v>
      </c>
      <c r="G233" s="360">
        <v>182965</v>
      </c>
      <c r="H233" s="360">
        <v>185416</v>
      </c>
    </row>
    <row r="234" spans="1:8" x14ac:dyDescent="0.2">
      <c r="A234" s="359" t="s">
        <v>662</v>
      </c>
      <c r="B234" s="359"/>
      <c r="C234" s="359" t="s">
        <v>663</v>
      </c>
      <c r="D234" s="360">
        <v>177772</v>
      </c>
      <c r="E234" s="360">
        <v>177772</v>
      </c>
      <c r="F234" s="360">
        <v>179487</v>
      </c>
      <c r="G234" s="360">
        <v>177430</v>
      </c>
      <c r="H234" s="360">
        <v>183263</v>
      </c>
    </row>
    <row r="235" spans="1:8" x14ac:dyDescent="0.2">
      <c r="A235" s="359" t="s">
        <v>690</v>
      </c>
      <c r="B235" s="359"/>
      <c r="C235" s="359" t="s">
        <v>691</v>
      </c>
      <c r="D235" s="360">
        <v>182493</v>
      </c>
      <c r="E235" s="360">
        <v>182494</v>
      </c>
      <c r="F235" s="360">
        <v>182395</v>
      </c>
      <c r="G235" s="360">
        <v>182582</v>
      </c>
      <c r="H235" s="360">
        <v>181791</v>
      </c>
    </row>
    <row r="236" spans="1:8" x14ac:dyDescent="0.2">
      <c r="A236" s="359" t="s">
        <v>376</v>
      </c>
      <c r="B236" s="359"/>
      <c r="C236" s="359" t="s">
        <v>377</v>
      </c>
      <c r="D236" s="360">
        <v>178237</v>
      </c>
      <c r="E236" s="360">
        <v>178237</v>
      </c>
      <c r="F236" s="360">
        <v>178434</v>
      </c>
      <c r="G236" s="360">
        <v>178628</v>
      </c>
      <c r="H236" s="360">
        <v>178933</v>
      </c>
    </row>
    <row r="237" spans="1:8" x14ac:dyDescent="0.2">
      <c r="A237" s="359" t="s">
        <v>922</v>
      </c>
      <c r="B237" s="359"/>
      <c r="C237" s="359" t="s">
        <v>923</v>
      </c>
      <c r="D237" s="360">
        <v>177223</v>
      </c>
      <c r="E237" s="360">
        <v>177223</v>
      </c>
      <c r="F237" s="360">
        <v>177324</v>
      </c>
      <c r="G237" s="360">
        <v>178031</v>
      </c>
      <c r="H237" s="360">
        <v>178586</v>
      </c>
    </row>
    <row r="238" spans="1:8" x14ac:dyDescent="0.2">
      <c r="A238" s="359" t="s">
        <v>800</v>
      </c>
      <c r="B238" s="359"/>
      <c r="C238" s="359" t="s">
        <v>801</v>
      </c>
      <c r="D238" s="360">
        <v>176441</v>
      </c>
      <c r="E238" s="360">
        <v>176441</v>
      </c>
      <c r="F238" s="360">
        <v>176673</v>
      </c>
      <c r="G238" s="360">
        <v>177379</v>
      </c>
      <c r="H238" s="360">
        <v>177782</v>
      </c>
    </row>
    <row r="239" spans="1:8" x14ac:dyDescent="0.2">
      <c r="A239" s="359" t="s">
        <v>534</v>
      </c>
      <c r="B239" s="359"/>
      <c r="C239" s="359" t="s">
        <v>535</v>
      </c>
      <c r="D239" s="360">
        <v>174528</v>
      </c>
      <c r="E239" s="360">
        <v>174528</v>
      </c>
      <c r="F239" s="360">
        <v>174667</v>
      </c>
      <c r="G239" s="360">
        <v>175897</v>
      </c>
      <c r="H239" s="360">
        <v>176948</v>
      </c>
    </row>
    <row r="240" spans="1:8" x14ac:dyDescent="0.2">
      <c r="A240" s="359" t="s">
        <v>674</v>
      </c>
      <c r="B240" s="359"/>
      <c r="C240" s="359" t="s">
        <v>675</v>
      </c>
      <c r="D240" s="360">
        <v>175518</v>
      </c>
      <c r="E240" s="360">
        <v>175516</v>
      </c>
      <c r="F240" s="360">
        <v>175903</v>
      </c>
      <c r="G240" s="360">
        <v>176663</v>
      </c>
      <c r="H240" s="360">
        <v>174327</v>
      </c>
    </row>
    <row r="241" spans="1:10" x14ac:dyDescent="0.2">
      <c r="A241" s="359" t="s">
        <v>608</v>
      </c>
      <c r="B241" s="359"/>
      <c r="C241" s="359" t="s">
        <v>609</v>
      </c>
      <c r="D241" s="360">
        <v>168148</v>
      </c>
      <c r="E241" s="360">
        <v>168148</v>
      </c>
      <c r="F241" s="360">
        <v>168787</v>
      </c>
      <c r="G241" s="360">
        <v>170715</v>
      </c>
      <c r="H241" s="360">
        <v>172554</v>
      </c>
    </row>
    <row r="242" spans="1:10" x14ac:dyDescent="0.2">
      <c r="A242" s="359" t="s">
        <v>1042</v>
      </c>
      <c r="B242" s="359"/>
      <c r="C242" s="359" t="s">
        <v>1043</v>
      </c>
      <c r="D242" s="360">
        <v>172425</v>
      </c>
      <c r="E242" s="360">
        <v>172423</v>
      </c>
      <c r="F242" s="360">
        <v>172358</v>
      </c>
      <c r="G242" s="360">
        <v>172576</v>
      </c>
      <c r="H242" s="360">
        <v>172493</v>
      </c>
      <c r="I242" s="366">
        <f>G242/F242-1</f>
        <v>1.2648092922868948E-3</v>
      </c>
      <c r="J242" s="366">
        <f t="shared" ref="J242" si="5">H242/G242-1</f>
        <v>-4.8094752456884216E-4</v>
      </c>
    </row>
    <row r="243" spans="1:10" x14ac:dyDescent="0.2">
      <c r="A243" s="359" t="s">
        <v>814</v>
      </c>
      <c r="B243" s="359"/>
      <c r="C243" s="359" t="s">
        <v>815</v>
      </c>
      <c r="D243" s="360">
        <v>172188</v>
      </c>
      <c r="E243" s="360">
        <v>172188</v>
      </c>
      <c r="F243" s="360">
        <v>171969</v>
      </c>
      <c r="G243" s="360">
        <v>170021</v>
      </c>
      <c r="H243" s="360">
        <v>170182</v>
      </c>
    </row>
    <row r="244" spans="1:10" x14ac:dyDescent="0.2">
      <c r="A244" s="359" t="s">
        <v>1010</v>
      </c>
      <c r="B244" s="359"/>
      <c r="C244" s="359" t="s">
        <v>1011</v>
      </c>
      <c r="D244" s="360">
        <v>168563</v>
      </c>
      <c r="E244" s="360">
        <v>168563</v>
      </c>
      <c r="F244" s="360">
        <v>168825</v>
      </c>
      <c r="G244" s="360">
        <v>168939</v>
      </c>
      <c r="H244" s="360">
        <v>168921</v>
      </c>
    </row>
    <row r="245" spans="1:10" x14ac:dyDescent="0.2">
      <c r="A245" s="359" t="s">
        <v>530</v>
      </c>
      <c r="B245" s="359"/>
      <c r="C245" s="359" t="s">
        <v>531</v>
      </c>
      <c r="D245" s="360">
        <v>169842</v>
      </c>
      <c r="E245" s="360">
        <v>169843</v>
      </c>
      <c r="F245" s="360">
        <v>169981</v>
      </c>
      <c r="G245" s="360">
        <v>169986</v>
      </c>
      <c r="H245" s="360">
        <v>168798</v>
      </c>
    </row>
    <row r="246" spans="1:10" x14ac:dyDescent="0.2">
      <c r="A246" s="359" t="s">
        <v>862</v>
      </c>
      <c r="B246" s="359"/>
      <c r="C246" s="359" t="s">
        <v>863</v>
      </c>
      <c r="D246" s="360">
        <v>166994</v>
      </c>
      <c r="E246" s="360">
        <v>166994</v>
      </c>
      <c r="F246" s="360">
        <v>167078</v>
      </c>
      <c r="G246" s="360">
        <v>167708</v>
      </c>
      <c r="H246" s="360">
        <v>168794</v>
      </c>
    </row>
    <row r="247" spans="1:10" x14ac:dyDescent="0.2">
      <c r="A247" s="359" t="s">
        <v>1090</v>
      </c>
      <c r="B247" s="359"/>
      <c r="C247" s="359" t="s">
        <v>1091</v>
      </c>
      <c r="D247" s="360">
        <v>167819</v>
      </c>
      <c r="E247" s="360">
        <v>167819</v>
      </c>
      <c r="F247" s="360">
        <v>167924</v>
      </c>
      <c r="G247" s="360">
        <v>168219</v>
      </c>
      <c r="H247" s="360">
        <v>168747</v>
      </c>
    </row>
    <row r="248" spans="1:10" x14ac:dyDescent="0.2">
      <c r="A248" s="359" t="s">
        <v>470</v>
      </c>
      <c r="B248" s="359"/>
      <c r="C248" s="359" t="s">
        <v>471</v>
      </c>
      <c r="D248" s="360">
        <v>162642</v>
      </c>
      <c r="E248" s="360">
        <v>162642</v>
      </c>
      <c r="F248" s="360">
        <v>163222</v>
      </c>
      <c r="G248" s="360">
        <v>165921</v>
      </c>
      <c r="H248" s="360">
        <v>168535</v>
      </c>
    </row>
    <row r="249" spans="1:10" x14ac:dyDescent="0.2">
      <c r="A249" s="359" t="s">
        <v>1122</v>
      </c>
      <c r="B249" s="359"/>
      <c r="C249" s="359" t="s">
        <v>1123</v>
      </c>
      <c r="D249" s="360">
        <v>166892</v>
      </c>
      <c r="E249" s="360">
        <v>166892</v>
      </c>
      <c r="F249" s="360">
        <v>167245</v>
      </c>
      <c r="G249" s="360">
        <v>167498</v>
      </c>
      <c r="H249" s="360">
        <v>167948</v>
      </c>
    </row>
    <row r="250" spans="1:10" x14ac:dyDescent="0.2">
      <c r="A250" s="359" t="s">
        <v>522</v>
      </c>
      <c r="B250" s="359"/>
      <c r="C250" s="359" t="s">
        <v>523</v>
      </c>
      <c r="D250" s="360">
        <v>162310</v>
      </c>
      <c r="E250" s="360">
        <v>162310</v>
      </c>
      <c r="F250" s="360">
        <v>162973</v>
      </c>
      <c r="G250" s="360">
        <v>165319</v>
      </c>
      <c r="H250" s="360">
        <v>167626</v>
      </c>
    </row>
    <row r="251" spans="1:10" x14ac:dyDescent="0.2">
      <c r="A251" s="359" t="s">
        <v>302</v>
      </c>
      <c r="B251" s="359"/>
      <c r="C251" s="359" t="s">
        <v>303</v>
      </c>
      <c r="D251" s="360">
        <v>165252</v>
      </c>
      <c r="E251" s="360">
        <v>165252</v>
      </c>
      <c r="F251" s="360">
        <v>165578</v>
      </c>
      <c r="G251" s="360">
        <v>166481</v>
      </c>
      <c r="H251" s="360">
        <v>166963</v>
      </c>
    </row>
    <row r="252" spans="1:10" x14ac:dyDescent="0.2">
      <c r="A252" s="359" t="s">
        <v>532</v>
      </c>
      <c r="B252" s="359"/>
      <c r="C252" s="359" t="s">
        <v>533</v>
      </c>
      <c r="D252" s="360">
        <v>161151</v>
      </c>
      <c r="E252" s="360">
        <v>161151</v>
      </c>
      <c r="F252" s="360">
        <v>161365</v>
      </c>
      <c r="G252" s="360">
        <v>162633</v>
      </c>
      <c r="H252" s="360">
        <v>163599</v>
      </c>
    </row>
    <row r="253" spans="1:10" x14ac:dyDescent="0.2">
      <c r="A253" s="359" t="s">
        <v>368</v>
      </c>
      <c r="B253" s="359"/>
      <c r="C253" s="359" t="s">
        <v>369</v>
      </c>
      <c r="D253" s="360">
        <v>158934</v>
      </c>
      <c r="E253" s="360">
        <v>158934</v>
      </c>
      <c r="F253" s="360">
        <v>159395</v>
      </c>
      <c r="G253" s="360">
        <v>160852</v>
      </c>
      <c r="H253" s="360">
        <v>162848</v>
      </c>
    </row>
    <row r="254" spans="1:10" x14ac:dyDescent="0.2">
      <c r="A254" s="359" t="s">
        <v>912</v>
      </c>
      <c r="B254" s="359"/>
      <c r="C254" s="359" t="s">
        <v>913</v>
      </c>
      <c r="D254" s="360">
        <v>159978</v>
      </c>
      <c r="E254" s="360">
        <v>159978</v>
      </c>
      <c r="F254" s="360">
        <v>159898</v>
      </c>
      <c r="G254" s="360">
        <v>159459</v>
      </c>
      <c r="H254" s="360">
        <v>162449</v>
      </c>
    </row>
    <row r="255" spans="1:10" x14ac:dyDescent="0.2">
      <c r="A255" s="359" t="s">
        <v>380</v>
      </c>
      <c r="B255" s="359"/>
      <c r="C255" s="359" t="s">
        <v>381</v>
      </c>
      <c r="D255" s="360">
        <v>159549</v>
      </c>
      <c r="E255" s="360">
        <v>159549</v>
      </c>
      <c r="F255" s="360">
        <v>160138</v>
      </c>
      <c r="G255" s="360">
        <v>161610</v>
      </c>
      <c r="H255" s="360">
        <v>162399</v>
      </c>
    </row>
    <row r="256" spans="1:10" x14ac:dyDescent="0.2">
      <c r="A256" s="359" t="s">
        <v>366</v>
      </c>
      <c r="B256" s="359"/>
      <c r="C256" s="359" t="s">
        <v>367</v>
      </c>
      <c r="D256" s="360">
        <v>157733</v>
      </c>
      <c r="E256" s="360">
        <v>157733</v>
      </c>
      <c r="F256" s="360">
        <v>157895</v>
      </c>
      <c r="G256" s="360">
        <v>160083</v>
      </c>
      <c r="H256" s="360">
        <v>162277</v>
      </c>
    </row>
    <row r="257" spans="1:8" x14ac:dyDescent="0.2">
      <c r="A257" s="359" t="s">
        <v>396</v>
      </c>
      <c r="B257" s="359"/>
      <c r="C257" s="359" t="s">
        <v>397</v>
      </c>
      <c r="D257" s="360">
        <v>158599</v>
      </c>
      <c r="E257" s="360">
        <v>158599</v>
      </c>
      <c r="F257" s="360">
        <v>159043</v>
      </c>
      <c r="G257" s="360">
        <v>160650</v>
      </c>
      <c r="H257" s="360">
        <v>162231</v>
      </c>
    </row>
    <row r="258" spans="1:8" x14ac:dyDescent="0.2">
      <c r="A258" s="359" t="s">
        <v>910</v>
      </c>
      <c r="B258" s="359"/>
      <c r="C258" s="359" t="s">
        <v>911</v>
      </c>
      <c r="D258" s="360">
        <v>159063</v>
      </c>
      <c r="E258" s="360">
        <v>159063</v>
      </c>
      <c r="F258" s="360">
        <v>159570</v>
      </c>
      <c r="G258" s="360">
        <v>160346</v>
      </c>
      <c r="H258" s="360">
        <v>160852</v>
      </c>
    </row>
    <row r="259" spans="1:8" x14ac:dyDescent="0.2">
      <c r="A259" s="359" t="s">
        <v>664</v>
      </c>
      <c r="B259" s="359"/>
      <c r="C259" s="359" t="s">
        <v>665</v>
      </c>
      <c r="D259" s="360">
        <v>160331</v>
      </c>
      <c r="E259" s="360">
        <v>160331</v>
      </c>
      <c r="F259" s="360">
        <v>160235</v>
      </c>
      <c r="G259" s="360">
        <v>160067</v>
      </c>
      <c r="H259" s="360">
        <v>160418</v>
      </c>
    </row>
    <row r="260" spans="1:8" x14ac:dyDescent="0.2">
      <c r="A260" s="359" t="s">
        <v>654</v>
      </c>
      <c r="B260" s="359"/>
      <c r="C260" s="359" t="s">
        <v>655</v>
      </c>
      <c r="D260" s="360">
        <v>160248</v>
      </c>
      <c r="E260" s="360">
        <v>160248</v>
      </c>
      <c r="F260" s="360">
        <v>160226</v>
      </c>
      <c r="G260" s="360">
        <v>159810</v>
      </c>
      <c r="H260" s="360">
        <v>160309</v>
      </c>
    </row>
    <row r="261" spans="1:8" x14ac:dyDescent="0.2">
      <c r="A261" s="359" t="s">
        <v>676</v>
      </c>
      <c r="B261" s="359"/>
      <c r="C261" s="359" t="s">
        <v>677</v>
      </c>
      <c r="D261" s="360">
        <v>154924</v>
      </c>
      <c r="E261" s="360">
        <v>154924</v>
      </c>
      <c r="F261" s="360">
        <v>155126</v>
      </c>
      <c r="G261" s="360">
        <v>156756</v>
      </c>
      <c r="H261" s="360">
        <v>158316</v>
      </c>
    </row>
    <row r="262" spans="1:8" x14ac:dyDescent="0.2">
      <c r="A262" s="359" t="s">
        <v>650</v>
      </c>
      <c r="B262" s="359"/>
      <c r="C262" s="359" t="s">
        <v>651</v>
      </c>
      <c r="D262" s="360">
        <v>152586</v>
      </c>
      <c r="E262" s="360">
        <v>152586</v>
      </c>
      <c r="F262" s="360">
        <v>152994</v>
      </c>
      <c r="G262" s="360">
        <v>155378</v>
      </c>
      <c r="H262" s="360">
        <v>158231</v>
      </c>
    </row>
    <row r="263" spans="1:8" x14ac:dyDescent="0.2">
      <c r="A263" s="359" t="s">
        <v>1072</v>
      </c>
      <c r="B263" s="359"/>
      <c r="C263" s="359" t="s">
        <v>1073</v>
      </c>
      <c r="D263" s="360">
        <v>156898</v>
      </c>
      <c r="E263" s="360">
        <v>156898</v>
      </c>
      <c r="F263" s="360">
        <v>157053</v>
      </c>
      <c r="G263" s="360">
        <v>157215</v>
      </c>
      <c r="H263" s="360">
        <v>157785</v>
      </c>
    </row>
    <row r="264" spans="1:8" x14ac:dyDescent="0.2">
      <c r="A264" s="359" t="s">
        <v>306</v>
      </c>
      <c r="B264" s="359"/>
      <c r="C264" s="359" t="s">
        <v>307</v>
      </c>
      <c r="D264" s="360">
        <v>157308</v>
      </c>
      <c r="E264" s="360">
        <v>157308</v>
      </c>
      <c r="F264" s="360">
        <v>157580</v>
      </c>
      <c r="G264" s="360">
        <v>157668</v>
      </c>
      <c r="H264" s="360">
        <v>157399</v>
      </c>
    </row>
    <row r="265" spans="1:8" x14ac:dyDescent="0.2">
      <c r="A265" s="359" t="s">
        <v>840</v>
      </c>
      <c r="B265" s="359"/>
      <c r="C265" s="359" t="s">
        <v>841</v>
      </c>
      <c r="D265" s="360">
        <v>156813</v>
      </c>
      <c r="E265" s="360">
        <v>156813</v>
      </c>
      <c r="F265" s="360">
        <v>156799</v>
      </c>
      <c r="G265" s="360">
        <v>156489</v>
      </c>
      <c r="H265" s="360">
        <v>156067</v>
      </c>
    </row>
    <row r="266" spans="1:8" x14ac:dyDescent="0.2">
      <c r="A266" s="359" t="s">
        <v>1028</v>
      </c>
      <c r="B266" s="359"/>
      <c r="C266" s="359" t="s">
        <v>1029</v>
      </c>
      <c r="D266" s="360">
        <v>153990</v>
      </c>
      <c r="E266" s="360">
        <v>153985</v>
      </c>
      <c r="F266" s="360">
        <v>154193</v>
      </c>
      <c r="G266" s="360">
        <v>154730</v>
      </c>
      <c r="H266" s="360">
        <v>155171</v>
      </c>
    </row>
    <row r="267" spans="1:8" x14ac:dyDescent="0.2">
      <c r="A267" s="359" t="s">
        <v>314</v>
      </c>
      <c r="B267" s="359"/>
      <c r="C267" s="359" t="s">
        <v>315</v>
      </c>
      <c r="D267" s="360">
        <v>153922</v>
      </c>
      <c r="E267" s="360">
        <v>153922</v>
      </c>
      <c r="F267" s="360">
        <v>154093</v>
      </c>
      <c r="G267" s="360">
        <v>154379</v>
      </c>
      <c r="H267" s="360">
        <v>154441</v>
      </c>
    </row>
    <row r="268" spans="1:8" x14ac:dyDescent="0.2">
      <c r="A268" s="359" t="s">
        <v>504</v>
      </c>
      <c r="B268" s="359"/>
      <c r="C268" s="359" t="s">
        <v>505</v>
      </c>
      <c r="D268" s="360">
        <v>153829</v>
      </c>
      <c r="E268" s="360">
        <v>153829</v>
      </c>
      <c r="F268" s="360">
        <v>153887</v>
      </c>
      <c r="G268" s="360">
        <v>154115</v>
      </c>
      <c r="H268" s="360">
        <v>154233</v>
      </c>
    </row>
    <row r="269" spans="1:8" x14ac:dyDescent="0.2">
      <c r="A269" s="359" t="s">
        <v>408</v>
      </c>
      <c r="B269" s="359"/>
      <c r="C269" s="359" t="s">
        <v>409</v>
      </c>
      <c r="D269" s="360">
        <v>151131</v>
      </c>
      <c r="E269" s="360">
        <v>151087</v>
      </c>
      <c r="F269" s="360">
        <v>151470</v>
      </c>
      <c r="G269" s="360">
        <v>152801</v>
      </c>
      <c r="H269" s="360">
        <v>153920</v>
      </c>
    </row>
    <row r="270" spans="1:8" x14ac:dyDescent="0.2">
      <c r="A270" s="359" t="s">
        <v>350</v>
      </c>
      <c r="B270" s="359"/>
      <c r="C270" s="359" t="s">
        <v>351</v>
      </c>
      <c r="D270" s="360">
        <v>153923</v>
      </c>
      <c r="E270" s="360">
        <v>153921</v>
      </c>
      <c r="F270" s="360">
        <v>153892</v>
      </c>
      <c r="G270" s="360">
        <v>153930</v>
      </c>
      <c r="H270" s="360">
        <v>153746</v>
      </c>
    </row>
    <row r="271" spans="1:8" x14ac:dyDescent="0.2">
      <c r="A271" s="359" t="s">
        <v>756</v>
      </c>
      <c r="B271" s="359"/>
      <c r="C271" s="359" t="s">
        <v>757</v>
      </c>
      <c r="D271" s="360">
        <v>150865</v>
      </c>
      <c r="E271" s="360">
        <v>150865</v>
      </c>
      <c r="F271" s="360">
        <v>151177</v>
      </c>
      <c r="G271" s="360">
        <v>152085</v>
      </c>
      <c r="H271" s="360">
        <v>152218</v>
      </c>
    </row>
    <row r="272" spans="1:8" x14ac:dyDescent="0.2">
      <c r="A272" s="359" t="s">
        <v>788</v>
      </c>
      <c r="B272" s="359"/>
      <c r="C272" s="359" t="s">
        <v>789</v>
      </c>
      <c r="D272" s="360">
        <v>141671</v>
      </c>
      <c r="E272" s="360">
        <v>141671</v>
      </c>
      <c r="F272" s="360">
        <v>141757</v>
      </c>
      <c r="G272" s="360">
        <v>144953</v>
      </c>
      <c r="H272" s="360">
        <v>151662</v>
      </c>
    </row>
    <row r="273" spans="1:8" x14ac:dyDescent="0.2">
      <c r="A273" s="359" t="s">
        <v>938</v>
      </c>
      <c r="B273" s="359"/>
      <c r="C273" s="359" t="s">
        <v>939</v>
      </c>
      <c r="D273" s="360">
        <v>152392</v>
      </c>
      <c r="E273" s="360">
        <v>152388</v>
      </c>
      <c r="F273" s="360">
        <v>152468</v>
      </c>
      <c r="G273" s="360">
        <v>151994</v>
      </c>
      <c r="H273" s="360">
        <v>151662</v>
      </c>
    </row>
    <row r="274" spans="1:8" x14ac:dyDescent="0.2">
      <c r="A274" s="359" t="s">
        <v>618</v>
      </c>
      <c r="B274" s="359"/>
      <c r="C274" s="359" t="s">
        <v>619</v>
      </c>
      <c r="D274" s="360">
        <v>152982</v>
      </c>
      <c r="E274" s="360">
        <v>152982</v>
      </c>
      <c r="F274" s="360">
        <v>152301</v>
      </c>
      <c r="G274" s="360">
        <v>151941</v>
      </c>
      <c r="H274" s="360">
        <v>151364</v>
      </c>
    </row>
    <row r="275" spans="1:8" x14ac:dyDescent="0.2">
      <c r="A275" s="359" t="s">
        <v>428</v>
      </c>
      <c r="B275" s="359"/>
      <c r="C275" s="359" t="s">
        <v>429</v>
      </c>
      <c r="D275" s="360">
        <v>149618</v>
      </c>
      <c r="E275" s="360">
        <v>149618</v>
      </c>
      <c r="F275" s="360">
        <v>149908</v>
      </c>
      <c r="G275" s="360">
        <v>150891</v>
      </c>
      <c r="H275" s="360">
        <v>151275</v>
      </c>
    </row>
    <row r="276" spans="1:8" x14ac:dyDescent="0.2">
      <c r="A276" s="359" t="s">
        <v>802</v>
      </c>
      <c r="B276" s="359"/>
      <c r="C276" s="359" t="s">
        <v>803</v>
      </c>
      <c r="D276" s="360">
        <v>152021</v>
      </c>
      <c r="E276" s="360">
        <v>152021</v>
      </c>
      <c r="F276" s="360">
        <v>151960</v>
      </c>
      <c r="G276" s="360">
        <v>151609</v>
      </c>
      <c r="H276" s="360">
        <v>151048</v>
      </c>
    </row>
    <row r="277" spans="1:8" x14ac:dyDescent="0.2">
      <c r="A277" s="359" t="s">
        <v>1104</v>
      </c>
      <c r="B277" s="359"/>
      <c r="C277" s="359" t="s">
        <v>1105</v>
      </c>
      <c r="D277" s="360">
        <v>151306</v>
      </c>
      <c r="E277" s="360">
        <v>151306</v>
      </c>
      <c r="F277" s="360">
        <v>151428</v>
      </c>
      <c r="G277" s="360">
        <v>150092</v>
      </c>
      <c r="H277" s="360">
        <v>150829</v>
      </c>
    </row>
    <row r="278" spans="1:8" x14ac:dyDescent="0.2">
      <c r="A278" s="359" t="s">
        <v>536</v>
      </c>
      <c r="B278" s="359"/>
      <c r="C278" s="359" t="s">
        <v>537</v>
      </c>
      <c r="D278" s="360">
        <v>148338</v>
      </c>
      <c r="E278" s="360">
        <v>148339</v>
      </c>
      <c r="F278" s="360">
        <v>149922</v>
      </c>
      <c r="G278" s="360">
        <v>151186</v>
      </c>
      <c r="H278" s="360">
        <v>150413</v>
      </c>
    </row>
    <row r="279" spans="1:8" x14ac:dyDescent="0.2">
      <c r="A279" s="359" t="s">
        <v>666</v>
      </c>
      <c r="B279" s="359"/>
      <c r="C279" s="359" t="s">
        <v>667</v>
      </c>
      <c r="D279" s="360">
        <v>149807</v>
      </c>
      <c r="E279" s="360">
        <v>149807</v>
      </c>
      <c r="F279" s="360">
        <v>149964</v>
      </c>
      <c r="G279" s="360">
        <v>150281</v>
      </c>
      <c r="H279" s="360">
        <v>150151</v>
      </c>
    </row>
    <row r="280" spans="1:8" x14ac:dyDescent="0.2">
      <c r="A280" s="359" t="s">
        <v>1044</v>
      </c>
      <c r="B280" s="359"/>
      <c r="C280" s="359" t="s">
        <v>1045</v>
      </c>
      <c r="D280" s="360">
        <v>149198</v>
      </c>
      <c r="E280" s="360">
        <v>149198</v>
      </c>
      <c r="F280" s="360">
        <v>149341</v>
      </c>
      <c r="G280" s="360">
        <v>149610</v>
      </c>
      <c r="H280" s="360">
        <v>149701</v>
      </c>
    </row>
    <row r="281" spans="1:8" x14ac:dyDescent="0.2">
      <c r="A281" s="359" t="s">
        <v>594</v>
      </c>
      <c r="B281" s="359"/>
      <c r="C281" s="359" t="s">
        <v>595</v>
      </c>
      <c r="D281" s="360">
        <v>146723</v>
      </c>
      <c r="E281" s="360">
        <v>146723</v>
      </c>
      <c r="F281" s="360">
        <v>146475</v>
      </c>
      <c r="G281" s="360">
        <v>147481</v>
      </c>
      <c r="H281" s="360">
        <v>147848</v>
      </c>
    </row>
    <row r="282" spans="1:8" x14ac:dyDescent="0.2">
      <c r="A282" s="359" t="s">
        <v>520</v>
      </c>
      <c r="B282" s="359"/>
      <c r="C282" s="359" t="s">
        <v>521</v>
      </c>
      <c r="D282" s="360">
        <v>145639</v>
      </c>
      <c r="E282" s="360">
        <v>145639</v>
      </c>
      <c r="F282" s="360">
        <v>145892</v>
      </c>
      <c r="G282" s="360">
        <v>146651</v>
      </c>
      <c r="H282" s="360">
        <v>147620</v>
      </c>
    </row>
    <row r="283" spans="1:8" x14ac:dyDescent="0.2">
      <c r="A283" s="359" t="s">
        <v>340</v>
      </c>
      <c r="B283" s="359"/>
      <c r="C283" s="359" t="s">
        <v>341</v>
      </c>
      <c r="D283" s="360">
        <v>140247</v>
      </c>
      <c r="E283" s="360">
        <v>140251</v>
      </c>
      <c r="F283" s="360">
        <v>140761</v>
      </c>
      <c r="G283" s="360">
        <v>143580</v>
      </c>
      <c r="H283" s="360">
        <v>147257</v>
      </c>
    </row>
    <row r="284" spans="1:8" x14ac:dyDescent="0.2">
      <c r="A284" s="359" t="s">
        <v>566</v>
      </c>
      <c r="B284" s="359"/>
      <c r="C284" s="359" t="s">
        <v>567</v>
      </c>
      <c r="D284" s="360">
        <v>147137</v>
      </c>
      <c r="E284" s="360">
        <v>147137</v>
      </c>
      <c r="F284" s="360">
        <v>147198</v>
      </c>
      <c r="G284" s="360">
        <v>147082</v>
      </c>
      <c r="H284" s="360">
        <v>146988</v>
      </c>
    </row>
    <row r="285" spans="1:8" x14ac:dyDescent="0.2">
      <c r="A285" s="359" t="s">
        <v>626</v>
      </c>
      <c r="B285" s="359"/>
      <c r="C285" s="359" t="s">
        <v>627</v>
      </c>
      <c r="D285" s="360">
        <v>142842</v>
      </c>
      <c r="E285" s="360">
        <v>142841</v>
      </c>
      <c r="F285" s="360">
        <v>143280</v>
      </c>
      <c r="G285" s="360">
        <v>145262</v>
      </c>
      <c r="H285" s="360">
        <v>146766</v>
      </c>
    </row>
    <row r="286" spans="1:8" x14ac:dyDescent="0.2">
      <c r="A286" s="359" t="s">
        <v>1100</v>
      </c>
      <c r="B286" s="359"/>
      <c r="C286" s="359" t="s">
        <v>1101</v>
      </c>
      <c r="D286" s="360">
        <v>147950</v>
      </c>
      <c r="E286" s="360">
        <v>147950</v>
      </c>
      <c r="F286" s="360">
        <v>147864</v>
      </c>
      <c r="G286" s="360">
        <v>147143</v>
      </c>
      <c r="H286" s="360">
        <v>146420</v>
      </c>
    </row>
    <row r="287" spans="1:8" x14ac:dyDescent="0.2">
      <c r="A287" s="359" t="s">
        <v>982</v>
      </c>
      <c r="B287" s="359"/>
      <c r="C287" s="359" t="s">
        <v>983</v>
      </c>
      <c r="D287" s="360">
        <v>144170</v>
      </c>
      <c r="E287" s="360">
        <v>144169</v>
      </c>
      <c r="F287" s="360">
        <v>144441</v>
      </c>
      <c r="G287" s="360">
        <v>145319</v>
      </c>
      <c r="H287" s="360">
        <v>146375</v>
      </c>
    </row>
    <row r="288" spans="1:8" x14ac:dyDescent="0.2">
      <c r="A288" s="359" t="s">
        <v>948</v>
      </c>
      <c r="B288" s="359"/>
      <c r="C288" s="359" t="s">
        <v>949</v>
      </c>
      <c r="D288" s="360">
        <v>138115</v>
      </c>
      <c r="E288" s="360">
        <v>138115</v>
      </c>
      <c r="F288" s="360">
        <v>138462</v>
      </c>
      <c r="G288" s="360">
        <v>141511</v>
      </c>
      <c r="H288" s="360">
        <v>144809</v>
      </c>
    </row>
    <row r="289" spans="1:8" x14ac:dyDescent="0.2">
      <c r="A289" s="359" t="s">
        <v>1066</v>
      </c>
      <c r="B289" s="359"/>
      <c r="C289" s="359" t="s">
        <v>1067</v>
      </c>
      <c r="D289" s="360">
        <v>139588</v>
      </c>
      <c r="E289" s="360">
        <v>139584</v>
      </c>
      <c r="F289" s="360">
        <v>140090</v>
      </c>
      <c r="G289" s="360">
        <v>142307</v>
      </c>
      <c r="H289" s="360">
        <v>144343</v>
      </c>
    </row>
    <row r="290" spans="1:8" x14ac:dyDescent="0.2">
      <c r="A290" s="359" t="s">
        <v>850</v>
      </c>
      <c r="B290" s="359"/>
      <c r="C290" s="359" t="s">
        <v>851</v>
      </c>
      <c r="D290" s="360">
        <v>137130</v>
      </c>
      <c r="E290" s="360">
        <v>137130</v>
      </c>
      <c r="F290" s="360">
        <v>137056</v>
      </c>
      <c r="G290" s="360">
        <v>139588</v>
      </c>
      <c r="H290" s="360">
        <v>144325</v>
      </c>
    </row>
    <row r="291" spans="1:8" x14ac:dyDescent="0.2">
      <c r="A291" s="359" t="s">
        <v>494</v>
      </c>
      <c r="B291" s="359"/>
      <c r="C291" s="359" t="s">
        <v>495</v>
      </c>
      <c r="D291" s="360">
        <v>142227</v>
      </c>
      <c r="E291" s="360">
        <v>142227</v>
      </c>
      <c r="F291" s="360">
        <v>142361</v>
      </c>
      <c r="G291" s="360">
        <v>142507</v>
      </c>
      <c r="H291" s="360">
        <v>142751</v>
      </c>
    </row>
    <row r="292" spans="1:8" x14ac:dyDescent="0.2">
      <c r="A292" s="359" t="s">
        <v>464</v>
      </c>
      <c r="B292" s="359"/>
      <c r="C292" s="359" t="s">
        <v>465</v>
      </c>
      <c r="D292" s="360">
        <v>138494</v>
      </c>
      <c r="E292" s="360">
        <v>138494</v>
      </c>
      <c r="F292" s="360">
        <v>138920</v>
      </c>
      <c r="G292" s="360">
        <v>141103</v>
      </c>
      <c r="H292" s="360">
        <v>142357</v>
      </c>
    </row>
    <row r="293" spans="1:8" x14ac:dyDescent="0.2">
      <c r="A293" s="359" t="s">
        <v>670</v>
      </c>
      <c r="B293" s="359"/>
      <c r="C293" s="359" t="s">
        <v>671</v>
      </c>
      <c r="D293" s="360">
        <v>143679</v>
      </c>
      <c r="E293" s="360">
        <v>143679</v>
      </c>
      <c r="F293" s="360">
        <v>143484</v>
      </c>
      <c r="G293" s="360">
        <v>142624</v>
      </c>
      <c r="H293" s="360">
        <v>141584</v>
      </c>
    </row>
    <row r="294" spans="1:8" x14ac:dyDescent="0.2">
      <c r="A294" s="359" t="s">
        <v>998</v>
      </c>
      <c r="B294" s="359"/>
      <c r="C294" s="359" t="s">
        <v>999</v>
      </c>
      <c r="D294" s="360">
        <v>138028</v>
      </c>
      <c r="E294" s="360">
        <v>138028</v>
      </c>
      <c r="F294" s="360">
        <v>138237</v>
      </c>
      <c r="G294" s="360">
        <v>138919</v>
      </c>
      <c r="H294" s="360">
        <v>140567</v>
      </c>
    </row>
    <row r="295" spans="1:8" x14ac:dyDescent="0.2">
      <c r="A295" s="359" t="s">
        <v>634</v>
      </c>
      <c r="B295" s="359"/>
      <c r="C295" s="359" t="s">
        <v>635</v>
      </c>
      <c r="D295" s="360">
        <v>141236</v>
      </c>
      <c r="E295" s="360">
        <v>141236</v>
      </c>
      <c r="F295" s="360">
        <v>141312</v>
      </c>
      <c r="G295" s="360">
        <v>139849</v>
      </c>
      <c r="H295" s="360">
        <v>139360</v>
      </c>
    </row>
    <row r="296" spans="1:8" x14ac:dyDescent="0.2">
      <c r="A296" s="359" t="s">
        <v>818</v>
      </c>
      <c r="B296" s="359"/>
      <c r="C296" s="359" t="s">
        <v>819</v>
      </c>
      <c r="D296" s="360">
        <v>136484</v>
      </c>
      <c r="E296" s="360">
        <v>136484</v>
      </c>
      <c r="F296" s="360">
        <v>136824</v>
      </c>
      <c r="G296" s="360">
        <v>137977</v>
      </c>
      <c r="H296" s="360">
        <v>139045</v>
      </c>
    </row>
    <row r="297" spans="1:8" x14ac:dyDescent="0.2">
      <c r="A297" s="359" t="s">
        <v>918</v>
      </c>
      <c r="B297" s="359"/>
      <c r="C297" s="359" t="s">
        <v>919</v>
      </c>
      <c r="D297" s="360">
        <v>134598</v>
      </c>
      <c r="E297" s="360">
        <v>134598</v>
      </c>
      <c r="F297" s="360">
        <v>135079</v>
      </c>
      <c r="G297" s="360">
        <v>136385</v>
      </c>
      <c r="H297" s="360">
        <v>138738</v>
      </c>
    </row>
    <row r="298" spans="1:8" x14ac:dyDescent="0.2">
      <c r="A298" s="359" t="s">
        <v>1026</v>
      </c>
      <c r="B298" s="359"/>
      <c r="C298" s="359" t="s">
        <v>1027</v>
      </c>
      <c r="D298" s="360">
        <v>138333</v>
      </c>
      <c r="E298" s="360">
        <v>138333</v>
      </c>
      <c r="F298" s="360">
        <v>138232</v>
      </c>
      <c r="G298" s="360">
        <v>137768</v>
      </c>
      <c r="H298" s="360">
        <v>137206</v>
      </c>
    </row>
    <row r="299" spans="1:8" x14ac:dyDescent="0.2">
      <c r="A299" s="359" t="s">
        <v>646</v>
      </c>
      <c r="B299" s="359"/>
      <c r="C299" s="359" t="s">
        <v>647</v>
      </c>
      <c r="D299" s="360">
        <v>133265</v>
      </c>
      <c r="E299" s="360">
        <v>133337</v>
      </c>
      <c r="F299" s="360">
        <v>133797</v>
      </c>
      <c r="G299" s="360">
        <v>134847</v>
      </c>
      <c r="H299" s="360">
        <v>136108</v>
      </c>
    </row>
    <row r="300" spans="1:8" x14ac:dyDescent="0.2">
      <c r="A300" s="359" t="s">
        <v>560</v>
      </c>
      <c r="B300" s="359"/>
      <c r="C300" s="359" t="s">
        <v>561</v>
      </c>
      <c r="D300" s="360">
        <v>134421</v>
      </c>
      <c r="E300" s="360">
        <v>134420</v>
      </c>
      <c r="F300" s="360">
        <v>134611</v>
      </c>
      <c r="G300" s="360">
        <v>134105</v>
      </c>
      <c r="H300" s="360">
        <v>136011</v>
      </c>
    </row>
    <row r="301" spans="1:8" x14ac:dyDescent="0.2">
      <c r="A301" s="359" t="s">
        <v>696</v>
      </c>
      <c r="B301" s="359"/>
      <c r="C301" s="359" t="s">
        <v>697</v>
      </c>
      <c r="D301" s="360">
        <v>133665</v>
      </c>
      <c r="E301" s="360">
        <v>133665</v>
      </c>
      <c r="F301" s="360">
        <v>133891</v>
      </c>
      <c r="G301" s="360">
        <v>134415</v>
      </c>
      <c r="H301" s="360">
        <v>135298</v>
      </c>
    </row>
    <row r="302" spans="1:8" x14ac:dyDescent="0.2">
      <c r="A302" s="359" t="s">
        <v>722</v>
      </c>
      <c r="B302" s="359"/>
      <c r="C302" s="359" t="s">
        <v>723</v>
      </c>
      <c r="D302" s="360">
        <v>133568</v>
      </c>
      <c r="E302" s="360">
        <v>133573</v>
      </c>
      <c r="F302" s="360">
        <v>133717</v>
      </c>
      <c r="G302" s="360">
        <v>134389</v>
      </c>
      <c r="H302" s="360">
        <v>135251</v>
      </c>
    </row>
    <row r="303" spans="1:8" x14ac:dyDescent="0.2">
      <c r="A303" s="359" t="s">
        <v>356</v>
      </c>
      <c r="B303" s="359"/>
      <c r="C303" s="359" t="s">
        <v>357</v>
      </c>
      <c r="D303" s="360">
        <v>136146</v>
      </c>
      <c r="E303" s="360">
        <v>136146</v>
      </c>
      <c r="F303" s="360">
        <v>136075</v>
      </c>
      <c r="G303" s="360">
        <v>135529</v>
      </c>
      <c r="H303" s="360">
        <v>135099</v>
      </c>
    </row>
    <row r="304" spans="1:8" x14ac:dyDescent="0.2">
      <c r="A304" s="359" t="s">
        <v>1094</v>
      </c>
      <c r="B304" s="359"/>
      <c r="C304" s="359" t="s">
        <v>1095</v>
      </c>
      <c r="D304" s="360">
        <v>134063</v>
      </c>
      <c r="E304" s="360">
        <v>134063</v>
      </c>
      <c r="F304" s="360">
        <v>134089</v>
      </c>
      <c r="G304" s="360">
        <v>134552</v>
      </c>
      <c r="H304" s="360">
        <v>134735</v>
      </c>
    </row>
    <row r="305" spans="1:8" x14ac:dyDescent="0.2">
      <c r="A305" s="359" t="s">
        <v>806</v>
      </c>
      <c r="B305" s="359"/>
      <c r="C305" s="359" t="s">
        <v>807</v>
      </c>
      <c r="D305" s="360">
        <v>129709</v>
      </c>
      <c r="E305" s="360">
        <v>129709</v>
      </c>
      <c r="F305" s="360">
        <v>130308</v>
      </c>
      <c r="G305" s="360">
        <v>132201</v>
      </c>
      <c r="H305" s="360">
        <v>134164</v>
      </c>
    </row>
    <row r="306" spans="1:8" x14ac:dyDescent="0.2">
      <c r="A306" s="359" t="s">
        <v>720</v>
      </c>
      <c r="B306" s="359"/>
      <c r="C306" s="359" t="s">
        <v>721</v>
      </c>
      <c r="D306" s="360">
        <v>130291</v>
      </c>
      <c r="E306" s="360">
        <v>130291</v>
      </c>
      <c r="F306" s="360">
        <v>131588</v>
      </c>
      <c r="G306" s="360">
        <v>131927</v>
      </c>
      <c r="H306" s="360">
        <v>132545</v>
      </c>
    </row>
    <row r="307" spans="1:8" x14ac:dyDescent="0.2">
      <c r="A307" s="359" t="s">
        <v>1008</v>
      </c>
      <c r="B307" s="359"/>
      <c r="C307" s="359" t="s">
        <v>1009</v>
      </c>
      <c r="D307" s="360">
        <v>131346</v>
      </c>
      <c r="E307" s="360">
        <v>131346</v>
      </c>
      <c r="F307" s="360">
        <v>131627</v>
      </c>
      <c r="G307" s="360">
        <v>132770</v>
      </c>
      <c r="H307" s="360">
        <v>132088</v>
      </c>
    </row>
    <row r="308" spans="1:8" x14ac:dyDescent="0.2">
      <c r="A308" s="359" t="s">
        <v>1110</v>
      </c>
      <c r="B308" s="359"/>
      <c r="C308" s="359" t="s">
        <v>1111</v>
      </c>
      <c r="D308" s="360">
        <v>128472</v>
      </c>
      <c r="E308" s="360">
        <v>128472</v>
      </c>
      <c r="F308" s="360">
        <v>128718</v>
      </c>
      <c r="G308" s="360">
        <v>129905</v>
      </c>
      <c r="H308" s="360">
        <v>130907</v>
      </c>
    </row>
    <row r="309" spans="1:8" x14ac:dyDescent="0.2">
      <c r="A309" s="359" t="s">
        <v>658</v>
      </c>
      <c r="B309" s="359"/>
      <c r="C309" s="359" t="s">
        <v>659</v>
      </c>
      <c r="D309" s="360">
        <v>130011</v>
      </c>
      <c r="E309" s="360">
        <v>130009</v>
      </c>
      <c r="F309" s="360">
        <v>130039</v>
      </c>
      <c r="G309" s="360">
        <v>129830</v>
      </c>
      <c r="H309" s="360">
        <v>130450</v>
      </c>
    </row>
    <row r="310" spans="1:8" x14ac:dyDescent="0.2">
      <c r="A310" s="359" t="s">
        <v>894</v>
      </c>
      <c r="B310" s="359"/>
      <c r="C310" s="359" t="s">
        <v>895</v>
      </c>
      <c r="D310" s="360">
        <v>131219</v>
      </c>
      <c r="E310" s="360">
        <v>131219</v>
      </c>
      <c r="F310" s="360">
        <v>131232</v>
      </c>
      <c r="G310" s="360">
        <v>130447</v>
      </c>
      <c r="H310" s="360">
        <v>130016</v>
      </c>
    </row>
    <row r="311" spans="1:8" x14ac:dyDescent="0.2">
      <c r="A311" s="359" t="s">
        <v>554</v>
      </c>
      <c r="B311" s="359"/>
      <c r="C311" s="359" t="s">
        <v>555</v>
      </c>
      <c r="D311" s="360">
        <v>130044</v>
      </c>
      <c r="E311" s="360">
        <v>130044</v>
      </c>
      <c r="F311" s="360">
        <v>130144</v>
      </c>
      <c r="G311" s="360">
        <v>128063</v>
      </c>
      <c r="H311" s="360">
        <v>128529</v>
      </c>
    </row>
    <row r="312" spans="1:8" x14ac:dyDescent="0.2">
      <c r="A312" s="359" t="s">
        <v>586</v>
      </c>
      <c r="B312" s="359"/>
      <c r="C312" s="359" t="s">
        <v>587</v>
      </c>
      <c r="D312" s="360">
        <v>128923</v>
      </c>
      <c r="E312" s="360">
        <v>128921</v>
      </c>
      <c r="F312" s="360">
        <v>128968</v>
      </c>
      <c r="G312" s="360">
        <v>128733</v>
      </c>
      <c r="H312" s="360">
        <v>128472</v>
      </c>
    </row>
    <row r="313" spans="1:8" x14ac:dyDescent="0.2">
      <c r="A313" s="359" t="s">
        <v>622</v>
      </c>
      <c r="B313" s="359"/>
      <c r="C313" s="359" t="s">
        <v>623</v>
      </c>
      <c r="D313" s="360">
        <v>125228</v>
      </c>
      <c r="E313" s="360">
        <v>125215</v>
      </c>
      <c r="F313" s="360">
        <v>125393</v>
      </c>
      <c r="G313" s="360">
        <v>126706</v>
      </c>
      <c r="H313" s="360">
        <v>128372</v>
      </c>
    </row>
    <row r="314" spans="1:8" x14ac:dyDescent="0.2">
      <c r="A314" s="359" t="s">
        <v>736</v>
      </c>
      <c r="B314" s="359"/>
      <c r="C314" s="359" t="s">
        <v>737</v>
      </c>
      <c r="D314" s="360">
        <v>125442</v>
      </c>
      <c r="E314" s="360">
        <v>125442</v>
      </c>
      <c r="F314" s="360">
        <v>126070</v>
      </c>
      <c r="G314" s="360">
        <v>127356</v>
      </c>
      <c r="H314" s="360">
        <v>128306</v>
      </c>
    </row>
    <row r="315" spans="1:8" x14ac:dyDescent="0.2">
      <c r="A315" s="359" t="s">
        <v>824</v>
      </c>
      <c r="B315" s="359"/>
      <c r="C315" s="359" t="s">
        <v>825</v>
      </c>
      <c r="D315" s="360">
        <v>126802</v>
      </c>
      <c r="E315" s="360">
        <v>126802</v>
      </c>
      <c r="F315" s="360">
        <v>127079</v>
      </c>
      <c r="G315" s="360">
        <v>128075</v>
      </c>
      <c r="H315" s="360">
        <v>128119</v>
      </c>
    </row>
    <row r="316" spans="1:8" x14ac:dyDescent="0.2">
      <c r="A316" s="359" t="s">
        <v>950</v>
      </c>
      <c r="B316" s="359"/>
      <c r="C316" s="359" t="s">
        <v>951</v>
      </c>
      <c r="D316" s="360">
        <v>127329</v>
      </c>
      <c r="E316" s="360">
        <v>127329</v>
      </c>
      <c r="F316" s="360">
        <v>127226</v>
      </c>
      <c r="G316" s="360">
        <v>127649</v>
      </c>
      <c r="H316" s="360">
        <v>127927</v>
      </c>
    </row>
    <row r="317" spans="1:8" x14ac:dyDescent="0.2">
      <c r="A317" s="359" t="s">
        <v>318</v>
      </c>
      <c r="B317" s="359"/>
      <c r="C317" s="359" t="s">
        <v>319</v>
      </c>
      <c r="D317" s="360">
        <v>127089</v>
      </c>
      <c r="E317" s="360">
        <v>127074</v>
      </c>
      <c r="F317" s="360">
        <v>127038</v>
      </c>
      <c r="G317" s="360">
        <v>127234</v>
      </c>
      <c r="H317" s="360">
        <v>127121</v>
      </c>
    </row>
    <row r="318" spans="1:8" x14ac:dyDescent="0.2">
      <c r="A318" s="359" t="s">
        <v>420</v>
      </c>
      <c r="B318" s="359"/>
      <c r="C318" s="359" t="s">
        <v>421</v>
      </c>
      <c r="D318" s="360">
        <v>126575</v>
      </c>
      <c r="E318" s="360">
        <v>126580</v>
      </c>
      <c r="F318" s="360">
        <v>126772</v>
      </c>
      <c r="G318" s="360">
        <v>126944</v>
      </c>
      <c r="H318" s="360">
        <v>126745</v>
      </c>
    </row>
    <row r="319" spans="1:8" x14ac:dyDescent="0.2">
      <c r="A319" s="359" t="s">
        <v>362</v>
      </c>
      <c r="B319" s="359"/>
      <c r="C319" s="359" t="s">
        <v>363</v>
      </c>
      <c r="D319" s="360">
        <v>124898</v>
      </c>
      <c r="E319" s="360">
        <v>124901</v>
      </c>
      <c r="F319" s="360">
        <v>124892</v>
      </c>
      <c r="G319" s="360">
        <v>125115</v>
      </c>
      <c r="H319" s="360">
        <v>124890</v>
      </c>
    </row>
    <row r="320" spans="1:8" x14ac:dyDescent="0.2">
      <c r="A320" s="359" t="s">
        <v>588</v>
      </c>
      <c r="B320" s="359"/>
      <c r="C320" s="359" t="s">
        <v>589</v>
      </c>
      <c r="D320" s="360">
        <v>122623</v>
      </c>
      <c r="E320" s="360">
        <v>122623</v>
      </c>
      <c r="F320" s="360">
        <v>122882</v>
      </c>
      <c r="G320" s="360">
        <v>123839</v>
      </c>
      <c r="H320" s="360">
        <v>124246</v>
      </c>
    </row>
    <row r="321" spans="1:8" x14ac:dyDescent="0.2">
      <c r="A321" s="359" t="s">
        <v>672</v>
      </c>
      <c r="B321" s="359"/>
      <c r="C321" s="359" t="s">
        <v>673</v>
      </c>
      <c r="D321" s="360">
        <v>121026</v>
      </c>
      <c r="E321" s="360">
        <v>121026</v>
      </c>
      <c r="F321" s="360">
        <v>121247</v>
      </c>
      <c r="G321" s="360">
        <v>122758</v>
      </c>
      <c r="H321" s="360">
        <v>124042</v>
      </c>
    </row>
    <row r="322" spans="1:8" x14ac:dyDescent="0.2">
      <c r="A322" s="359" t="s">
        <v>616</v>
      </c>
      <c r="B322" s="359"/>
      <c r="C322" s="359" t="s">
        <v>617</v>
      </c>
      <c r="D322" s="360">
        <v>121097</v>
      </c>
      <c r="E322" s="360">
        <v>121101</v>
      </c>
      <c r="F322" s="360">
        <v>121453</v>
      </c>
      <c r="G322" s="360">
        <v>122519</v>
      </c>
      <c r="H322" s="360">
        <v>123441</v>
      </c>
    </row>
    <row r="323" spans="1:8" x14ac:dyDescent="0.2">
      <c r="A323" s="359" t="s">
        <v>766</v>
      </c>
      <c r="B323" s="359"/>
      <c r="C323" s="359" t="s">
        <v>767</v>
      </c>
      <c r="D323" s="360">
        <v>124475</v>
      </c>
      <c r="E323" s="360">
        <v>124475</v>
      </c>
      <c r="F323" s="360">
        <v>124195</v>
      </c>
      <c r="G323" s="360">
        <v>123125</v>
      </c>
      <c r="H323" s="360">
        <v>122673</v>
      </c>
    </row>
    <row r="324" spans="1:8" x14ac:dyDescent="0.2">
      <c r="A324" s="359" t="s">
        <v>1096</v>
      </c>
      <c r="B324" s="359"/>
      <c r="C324" s="359" t="s">
        <v>1097</v>
      </c>
      <c r="D324" s="360">
        <v>124454</v>
      </c>
      <c r="E324" s="360">
        <v>124454</v>
      </c>
      <c r="F324" s="360">
        <v>124231</v>
      </c>
      <c r="G324" s="360">
        <v>123322</v>
      </c>
      <c r="H324" s="360">
        <v>122547</v>
      </c>
    </row>
    <row r="325" spans="1:8" x14ac:dyDescent="0.2">
      <c r="A325" s="359" t="s">
        <v>1004</v>
      </c>
      <c r="B325" s="359"/>
      <c r="C325" s="359" t="s">
        <v>1005</v>
      </c>
      <c r="D325" s="360">
        <v>120877</v>
      </c>
      <c r="E325" s="360">
        <v>120877</v>
      </c>
      <c r="F325" s="360">
        <v>121060</v>
      </c>
      <c r="G325" s="360">
        <v>121306</v>
      </c>
      <c r="H325" s="360">
        <v>121935</v>
      </c>
    </row>
    <row r="326" spans="1:8" x14ac:dyDescent="0.2">
      <c r="A326" s="359" t="s">
        <v>1092</v>
      </c>
      <c r="B326" s="359"/>
      <c r="C326" s="359" t="s">
        <v>1093</v>
      </c>
      <c r="D326" s="360">
        <v>116229</v>
      </c>
      <c r="E326" s="360">
        <v>116229</v>
      </c>
      <c r="F326" s="360">
        <v>116572</v>
      </c>
      <c r="G326" s="360">
        <v>118163</v>
      </c>
      <c r="H326" s="360">
        <v>120262</v>
      </c>
    </row>
    <row r="327" spans="1:8" x14ac:dyDescent="0.2">
      <c r="A327" s="359" t="s">
        <v>374</v>
      </c>
      <c r="B327" s="359"/>
      <c r="C327" s="359" t="s">
        <v>375</v>
      </c>
      <c r="D327" s="360">
        <v>114778</v>
      </c>
      <c r="E327" s="360">
        <v>114778</v>
      </c>
      <c r="F327" s="360">
        <v>115294</v>
      </c>
      <c r="G327" s="360">
        <v>117284</v>
      </c>
      <c r="H327" s="360">
        <v>120060</v>
      </c>
    </row>
    <row r="328" spans="1:8" x14ac:dyDescent="0.2">
      <c r="A328" s="359" t="s">
        <v>1030</v>
      </c>
      <c r="B328" s="359"/>
      <c r="C328" s="359" t="s">
        <v>1031</v>
      </c>
      <c r="D328" s="360">
        <v>118502</v>
      </c>
      <c r="E328" s="360">
        <v>118502</v>
      </c>
      <c r="F328" s="360">
        <v>118375</v>
      </c>
      <c r="G328" s="360">
        <v>118921</v>
      </c>
      <c r="H328" s="360">
        <v>118686</v>
      </c>
    </row>
    <row r="329" spans="1:8" x14ac:dyDescent="0.2">
      <c r="A329" s="359" t="s">
        <v>308</v>
      </c>
      <c r="B329" s="359"/>
      <c r="C329" s="359" t="s">
        <v>309</v>
      </c>
      <c r="D329" s="360">
        <v>116672</v>
      </c>
      <c r="E329" s="360">
        <v>116672</v>
      </c>
      <c r="F329" s="360">
        <v>116894</v>
      </c>
      <c r="G329" s="360">
        <v>118135</v>
      </c>
      <c r="H329" s="360">
        <v>118360</v>
      </c>
    </row>
    <row r="330" spans="1:8" x14ac:dyDescent="0.2">
      <c r="A330" s="359" t="s">
        <v>810</v>
      </c>
      <c r="B330" s="359"/>
      <c r="C330" s="359" t="s">
        <v>811</v>
      </c>
      <c r="D330" s="360">
        <v>116901</v>
      </c>
      <c r="E330" s="360">
        <v>116901</v>
      </c>
      <c r="F330" s="360">
        <v>117014</v>
      </c>
      <c r="G330" s="360">
        <v>117836</v>
      </c>
      <c r="H330" s="360">
        <v>118222</v>
      </c>
    </row>
    <row r="331" spans="1:8" x14ac:dyDescent="0.2">
      <c r="A331" s="359" t="s">
        <v>460</v>
      </c>
      <c r="B331" s="359"/>
      <c r="C331" s="359" t="s">
        <v>461</v>
      </c>
      <c r="D331" s="360">
        <v>115788</v>
      </c>
      <c r="E331" s="360">
        <v>115788</v>
      </c>
      <c r="F331" s="360">
        <v>115972</v>
      </c>
      <c r="G331" s="360">
        <v>116738</v>
      </c>
      <c r="H331" s="360">
        <v>117820</v>
      </c>
    </row>
    <row r="332" spans="1:8" x14ac:dyDescent="0.2">
      <c r="A332" s="359" t="s">
        <v>812</v>
      </c>
      <c r="B332" s="359"/>
      <c r="C332" s="359" t="s">
        <v>813</v>
      </c>
      <c r="D332" s="360">
        <v>117671</v>
      </c>
      <c r="E332" s="360">
        <v>117671</v>
      </c>
      <c r="F332" s="360">
        <v>117649</v>
      </c>
      <c r="G332" s="360">
        <v>117784</v>
      </c>
      <c r="H332" s="360">
        <v>117364</v>
      </c>
    </row>
    <row r="333" spans="1:8" x14ac:dyDescent="0.2">
      <c r="A333" s="359" t="s">
        <v>328</v>
      </c>
      <c r="B333" s="359"/>
      <c r="C333" s="359" t="s">
        <v>329</v>
      </c>
      <c r="D333" s="360">
        <v>118572</v>
      </c>
      <c r="E333" s="360">
        <v>118572</v>
      </c>
      <c r="F333" s="360">
        <v>118423</v>
      </c>
      <c r="G333" s="360">
        <v>117815</v>
      </c>
      <c r="H333" s="360">
        <v>117296</v>
      </c>
    </row>
    <row r="334" spans="1:8" x14ac:dyDescent="0.2">
      <c r="A334" s="359" t="s">
        <v>1106</v>
      </c>
      <c r="B334" s="359"/>
      <c r="C334" s="359" t="s">
        <v>1107</v>
      </c>
      <c r="D334" s="360">
        <v>116111</v>
      </c>
      <c r="E334" s="360">
        <v>116108</v>
      </c>
      <c r="F334" s="360">
        <v>116159</v>
      </c>
      <c r="G334" s="360">
        <v>116678</v>
      </c>
      <c r="H334" s="360">
        <v>117168</v>
      </c>
    </row>
    <row r="335" spans="1:8" x14ac:dyDescent="0.2">
      <c r="A335" s="359" t="s">
        <v>864</v>
      </c>
      <c r="B335" s="359"/>
      <c r="C335" s="359" t="s">
        <v>865</v>
      </c>
      <c r="D335" s="360">
        <v>114752</v>
      </c>
      <c r="E335" s="360">
        <v>114755</v>
      </c>
      <c r="F335" s="360">
        <v>114806</v>
      </c>
      <c r="G335" s="360">
        <v>115394</v>
      </c>
      <c r="H335" s="360">
        <v>116030</v>
      </c>
    </row>
    <row r="336" spans="1:8" x14ac:dyDescent="0.2">
      <c r="A336" s="359" t="s">
        <v>1002</v>
      </c>
      <c r="B336" s="359"/>
      <c r="C336" s="359" t="s">
        <v>1003</v>
      </c>
      <c r="D336" s="360">
        <v>115507</v>
      </c>
      <c r="E336" s="360">
        <v>115507</v>
      </c>
      <c r="F336" s="360">
        <v>115416</v>
      </c>
      <c r="G336" s="360">
        <v>115247</v>
      </c>
      <c r="H336" s="360">
        <v>115009</v>
      </c>
    </row>
    <row r="337" spans="1:8" x14ac:dyDescent="0.2">
      <c r="A337" s="359" t="s">
        <v>808</v>
      </c>
      <c r="B337" s="359"/>
      <c r="C337" s="359" t="s">
        <v>809</v>
      </c>
      <c r="D337" s="360">
        <v>113951</v>
      </c>
      <c r="E337" s="360">
        <v>113953</v>
      </c>
      <c r="F337" s="360">
        <v>114049</v>
      </c>
      <c r="G337" s="360">
        <v>114623</v>
      </c>
      <c r="H337" s="360">
        <v>114937</v>
      </c>
    </row>
    <row r="338" spans="1:8" x14ac:dyDescent="0.2">
      <c r="A338" s="359" t="s">
        <v>962</v>
      </c>
      <c r="B338" s="359"/>
      <c r="C338" s="359" t="s">
        <v>963</v>
      </c>
      <c r="D338" s="360">
        <v>111823</v>
      </c>
      <c r="E338" s="360">
        <v>111823</v>
      </c>
      <c r="F338" s="360">
        <v>112241</v>
      </c>
      <c r="G338" s="360">
        <v>113348</v>
      </c>
      <c r="H338" s="360">
        <v>114854</v>
      </c>
    </row>
    <row r="339" spans="1:8" x14ac:dyDescent="0.2">
      <c r="A339" s="359" t="s">
        <v>404</v>
      </c>
      <c r="B339" s="359"/>
      <c r="C339" s="359" t="s">
        <v>405</v>
      </c>
      <c r="D339" s="360">
        <v>112370</v>
      </c>
      <c r="E339" s="360">
        <v>112368</v>
      </c>
      <c r="F339" s="360">
        <v>112637</v>
      </c>
      <c r="G339" s="360">
        <v>113122</v>
      </c>
      <c r="H339" s="360">
        <v>113448</v>
      </c>
    </row>
    <row r="340" spans="1:8" x14ac:dyDescent="0.2">
      <c r="A340" s="359" t="s">
        <v>680</v>
      </c>
      <c r="B340" s="359"/>
      <c r="C340" s="359" t="s">
        <v>681</v>
      </c>
      <c r="D340" s="360">
        <v>113449</v>
      </c>
      <c r="E340" s="360">
        <v>113449</v>
      </c>
      <c r="F340" s="360">
        <v>113502</v>
      </c>
      <c r="G340" s="360">
        <v>113541</v>
      </c>
      <c r="H340" s="360">
        <v>113040</v>
      </c>
    </row>
    <row r="341" spans="1:8" x14ac:dyDescent="0.2">
      <c r="A341" s="359" t="s">
        <v>1098</v>
      </c>
      <c r="B341" s="359"/>
      <c r="C341" s="359" t="s">
        <v>1099</v>
      </c>
      <c r="D341" s="360">
        <v>110884</v>
      </c>
      <c r="E341" s="360">
        <v>110887</v>
      </c>
      <c r="F341" s="360">
        <v>111270</v>
      </c>
      <c r="G341" s="360">
        <v>112048</v>
      </c>
      <c r="H341" s="360">
        <v>113037</v>
      </c>
    </row>
    <row r="342" spans="1:8" x14ac:dyDescent="0.2">
      <c r="A342" s="359" t="s">
        <v>718</v>
      </c>
      <c r="B342" s="359"/>
      <c r="C342" s="359" t="s">
        <v>719</v>
      </c>
      <c r="D342" s="360">
        <v>110826</v>
      </c>
      <c r="E342" s="360">
        <v>110826</v>
      </c>
      <c r="F342" s="360">
        <v>111208</v>
      </c>
      <c r="G342" s="360">
        <v>112244</v>
      </c>
      <c r="H342" s="360">
        <v>112864</v>
      </c>
    </row>
    <row r="343" spans="1:8" x14ac:dyDescent="0.2">
      <c r="A343" s="359" t="s">
        <v>784</v>
      </c>
      <c r="B343" s="359"/>
      <c r="C343" s="359" t="s">
        <v>785</v>
      </c>
      <c r="D343" s="360">
        <v>111467</v>
      </c>
      <c r="E343" s="360">
        <v>111467</v>
      </c>
      <c r="F343" s="360">
        <v>111432</v>
      </c>
      <c r="G343" s="360">
        <v>111263</v>
      </c>
      <c r="H343" s="360">
        <v>111246</v>
      </c>
    </row>
    <row r="344" spans="1:8" x14ac:dyDescent="0.2">
      <c r="A344" s="359" t="s">
        <v>794</v>
      </c>
      <c r="B344" s="359"/>
      <c r="C344" s="359" t="s">
        <v>795</v>
      </c>
      <c r="D344" s="360">
        <v>109299</v>
      </c>
      <c r="E344" s="360">
        <v>109299</v>
      </c>
      <c r="F344" s="360">
        <v>109457</v>
      </c>
      <c r="G344" s="360">
        <v>110114</v>
      </c>
      <c r="H344" s="360">
        <v>110977</v>
      </c>
    </row>
    <row r="345" spans="1:8" x14ac:dyDescent="0.2">
      <c r="A345" s="359" t="s">
        <v>506</v>
      </c>
      <c r="B345" s="359"/>
      <c r="C345" s="359" t="s">
        <v>507</v>
      </c>
      <c r="D345" s="360">
        <v>110768</v>
      </c>
      <c r="E345" s="360">
        <v>110768</v>
      </c>
      <c r="F345" s="360">
        <v>110734</v>
      </c>
      <c r="G345" s="360">
        <v>110616</v>
      </c>
      <c r="H345" s="360">
        <v>110122</v>
      </c>
    </row>
    <row r="346" spans="1:8" x14ac:dyDescent="0.2">
      <c r="A346" s="359" t="s">
        <v>412</v>
      </c>
      <c r="B346" s="359"/>
      <c r="C346" s="359" t="s">
        <v>413</v>
      </c>
      <c r="D346" s="360">
        <v>105151</v>
      </c>
      <c r="E346" s="360">
        <v>105151</v>
      </c>
      <c r="F346" s="360">
        <v>105778</v>
      </c>
      <c r="G346" s="360">
        <v>107681</v>
      </c>
      <c r="H346" s="360">
        <v>108987</v>
      </c>
    </row>
    <row r="347" spans="1:8" x14ac:dyDescent="0.2">
      <c r="A347" s="359" t="s">
        <v>1034</v>
      </c>
      <c r="B347" s="359"/>
      <c r="C347" s="359" t="s">
        <v>1035</v>
      </c>
      <c r="D347" s="360">
        <v>107456</v>
      </c>
      <c r="E347" s="360">
        <v>107456</v>
      </c>
      <c r="F347" s="360">
        <v>107532</v>
      </c>
      <c r="G347" s="360">
        <v>107342</v>
      </c>
      <c r="H347" s="360">
        <v>108052</v>
      </c>
    </row>
    <row r="348" spans="1:8" x14ac:dyDescent="0.2">
      <c r="A348" s="359" t="s">
        <v>726</v>
      </c>
      <c r="B348" s="359"/>
      <c r="C348" s="359" t="s">
        <v>727</v>
      </c>
      <c r="D348" s="360">
        <v>107702</v>
      </c>
      <c r="E348" s="360">
        <v>107702</v>
      </c>
      <c r="F348" s="360">
        <v>107678</v>
      </c>
      <c r="G348" s="360">
        <v>107427</v>
      </c>
      <c r="H348" s="360">
        <v>107609</v>
      </c>
    </row>
    <row r="349" spans="1:8" x14ac:dyDescent="0.2">
      <c r="A349" s="359" t="s">
        <v>358</v>
      </c>
      <c r="B349" s="359"/>
      <c r="C349" s="359" t="s">
        <v>359</v>
      </c>
      <c r="D349" s="360">
        <v>107771</v>
      </c>
      <c r="E349" s="360">
        <v>107771</v>
      </c>
      <c r="F349" s="360">
        <v>107723</v>
      </c>
      <c r="G349" s="360">
        <v>107273</v>
      </c>
      <c r="H349" s="360">
        <v>106935</v>
      </c>
    </row>
    <row r="350" spans="1:8" x14ac:dyDescent="0.2">
      <c r="A350" s="359" t="s">
        <v>730</v>
      </c>
      <c r="B350" s="359"/>
      <c r="C350" s="359" t="s">
        <v>731</v>
      </c>
      <c r="D350" s="360">
        <v>106331</v>
      </c>
      <c r="E350" s="360">
        <v>106331</v>
      </c>
      <c r="F350" s="360">
        <v>106222</v>
      </c>
      <c r="G350" s="360">
        <v>105740</v>
      </c>
      <c r="H350" s="360">
        <v>105141</v>
      </c>
    </row>
    <row r="351" spans="1:8" x14ac:dyDescent="0.2">
      <c r="A351" s="359" t="s">
        <v>578</v>
      </c>
      <c r="B351" s="359"/>
      <c r="C351" s="359" t="s">
        <v>579</v>
      </c>
      <c r="D351" s="360">
        <v>104430</v>
      </c>
      <c r="E351" s="360">
        <v>104430</v>
      </c>
      <c r="F351" s="360">
        <v>104452</v>
      </c>
      <c r="G351" s="360">
        <v>104298</v>
      </c>
      <c r="H351" s="360">
        <v>104392</v>
      </c>
    </row>
    <row r="352" spans="1:8" x14ac:dyDescent="0.2">
      <c r="A352" s="359" t="s">
        <v>652</v>
      </c>
      <c r="B352" s="359"/>
      <c r="C352" s="359" t="s">
        <v>653</v>
      </c>
      <c r="D352" s="360">
        <v>101564</v>
      </c>
      <c r="E352" s="360">
        <v>101564</v>
      </c>
      <c r="F352" s="360">
        <v>101651</v>
      </c>
      <c r="G352" s="360">
        <v>101763</v>
      </c>
      <c r="H352" s="360">
        <v>102554</v>
      </c>
    </row>
    <row r="353" spans="1:8" x14ac:dyDescent="0.2">
      <c r="A353" s="359" t="s">
        <v>740</v>
      </c>
      <c r="B353" s="359"/>
      <c r="C353" s="359" t="s">
        <v>741</v>
      </c>
      <c r="D353" s="360">
        <v>102410</v>
      </c>
      <c r="E353" s="360">
        <v>102410</v>
      </c>
      <c r="F353" s="360">
        <v>102447</v>
      </c>
      <c r="G353" s="360">
        <v>102431</v>
      </c>
      <c r="H353" s="360">
        <v>101996</v>
      </c>
    </row>
    <row r="354" spans="1:8" x14ac:dyDescent="0.2">
      <c r="A354" s="359" t="s">
        <v>486</v>
      </c>
      <c r="B354" s="359"/>
      <c r="C354" s="359" t="s">
        <v>487</v>
      </c>
      <c r="D354" s="360">
        <v>103299</v>
      </c>
      <c r="E354" s="360">
        <v>103299</v>
      </c>
      <c r="F354" s="360">
        <v>103248</v>
      </c>
      <c r="G354" s="360">
        <v>102612</v>
      </c>
      <c r="H354" s="360">
        <v>101968</v>
      </c>
    </row>
    <row r="355" spans="1:8" x14ac:dyDescent="0.2">
      <c r="A355" s="359" t="s">
        <v>568</v>
      </c>
      <c r="B355" s="359"/>
      <c r="C355" s="359" t="s">
        <v>569</v>
      </c>
      <c r="D355" s="360">
        <v>101633</v>
      </c>
      <c r="E355" s="360">
        <v>101633</v>
      </c>
      <c r="F355" s="360">
        <v>101695</v>
      </c>
      <c r="G355" s="360">
        <v>101856</v>
      </c>
      <c r="H355" s="360">
        <v>101843</v>
      </c>
    </row>
    <row r="356" spans="1:8" x14ac:dyDescent="0.2">
      <c r="A356" s="359" t="s">
        <v>1046</v>
      </c>
      <c r="B356" s="359"/>
      <c r="C356" s="359" t="s">
        <v>1047</v>
      </c>
      <c r="D356" s="360">
        <v>93420</v>
      </c>
      <c r="E356" s="360">
        <v>93420</v>
      </c>
      <c r="F356" s="360">
        <v>94268</v>
      </c>
      <c r="G356" s="360">
        <v>98237</v>
      </c>
      <c r="H356" s="360">
        <v>101620</v>
      </c>
    </row>
    <row r="357" spans="1:8" x14ac:dyDescent="0.2">
      <c r="A357" s="359" t="s">
        <v>584</v>
      </c>
      <c r="B357" s="359"/>
      <c r="C357" s="359" t="s">
        <v>585</v>
      </c>
      <c r="D357" s="360">
        <v>101407</v>
      </c>
      <c r="E357" s="360">
        <v>101407</v>
      </c>
      <c r="F357" s="360">
        <v>101423</v>
      </c>
      <c r="G357" s="360">
        <v>101549</v>
      </c>
      <c r="H357" s="360">
        <v>101482</v>
      </c>
    </row>
    <row r="358" spans="1:8" x14ac:dyDescent="0.2">
      <c r="A358" s="359" t="s">
        <v>550</v>
      </c>
      <c r="B358" s="359"/>
      <c r="C358" s="359" t="s">
        <v>551</v>
      </c>
      <c r="D358" s="360">
        <v>97581</v>
      </c>
      <c r="E358" s="360">
        <v>97581</v>
      </c>
      <c r="F358" s="360">
        <v>98267</v>
      </c>
      <c r="G358" s="360">
        <v>99286</v>
      </c>
      <c r="H358" s="360">
        <v>100272</v>
      </c>
    </row>
    <row r="359" spans="1:8" x14ac:dyDescent="0.2">
      <c r="A359" s="359" t="s">
        <v>590</v>
      </c>
      <c r="B359" s="359"/>
      <c r="C359" s="359" t="s">
        <v>591</v>
      </c>
      <c r="D359" s="360">
        <v>98461</v>
      </c>
      <c r="E359" s="360">
        <v>98461</v>
      </c>
      <c r="F359" s="360">
        <v>98599</v>
      </c>
      <c r="G359" s="360">
        <v>98061</v>
      </c>
      <c r="H359" s="360">
        <v>98888</v>
      </c>
    </row>
    <row r="360" spans="1:8" x14ac:dyDescent="0.2">
      <c r="A360" s="359" t="s">
        <v>1000</v>
      </c>
      <c r="B360" s="359"/>
      <c r="C360" s="359" t="s">
        <v>1001</v>
      </c>
      <c r="D360" s="360">
        <v>98786</v>
      </c>
      <c r="E360" s="360">
        <v>98786</v>
      </c>
      <c r="F360" s="360">
        <v>98727</v>
      </c>
      <c r="G360" s="360">
        <v>98292</v>
      </c>
      <c r="H360" s="360">
        <v>98128</v>
      </c>
    </row>
    <row r="361" spans="1:8" x14ac:dyDescent="0.2">
      <c r="A361" s="359" t="s">
        <v>764</v>
      </c>
      <c r="B361" s="359"/>
      <c r="C361" s="359" t="s">
        <v>765</v>
      </c>
      <c r="D361" s="360">
        <v>96740</v>
      </c>
      <c r="E361" s="360">
        <v>96740</v>
      </c>
      <c r="F361" s="360">
        <v>96812</v>
      </c>
      <c r="G361" s="360">
        <v>97335</v>
      </c>
      <c r="H361" s="360">
        <v>98020</v>
      </c>
    </row>
    <row r="362" spans="1:8" x14ac:dyDescent="0.2">
      <c r="A362" s="359" t="s">
        <v>762</v>
      </c>
      <c r="B362" s="359"/>
      <c r="C362" s="359" t="s">
        <v>763</v>
      </c>
      <c r="D362" s="360">
        <v>92719</v>
      </c>
      <c r="E362" s="360">
        <v>92719</v>
      </c>
      <c r="F362" s="360">
        <v>93245</v>
      </c>
      <c r="G362" s="360">
        <v>95150</v>
      </c>
      <c r="H362" s="360">
        <v>97810</v>
      </c>
    </row>
    <row r="363" spans="1:8" x14ac:dyDescent="0.2">
      <c r="A363" s="359" t="s">
        <v>890</v>
      </c>
      <c r="B363" s="359"/>
      <c r="C363" s="359" t="s">
        <v>891</v>
      </c>
      <c r="D363" s="360">
        <v>100258</v>
      </c>
      <c r="E363" s="360">
        <v>100258</v>
      </c>
      <c r="F363" s="360">
        <v>100118</v>
      </c>
      <c r="G363" s="360">
        <v>98973</v>
      </c>
      <c r="H363" s="360">
        <v>97451</v>
      </c>
    </row>
    <row r="364" spans="1:8" x14ac:dyDescent="0.2">
      <c r="A364" s="359" t="s">
        <v>418</v>
      </c>
      <c r="B364" s="359"/>
      <c r="C364" s="359" t="s">
        <v>419</v>
      </c>
      <c r="D364" s="360">
        <v>96275</v>
      </c>
      <c r="E364" s="360">
        <v>96275</v>
      </c>
      <c r="F364" s="360">
        <v>96403</v>
      </c>
      <c r="G364" s="360">
        <v>96980</v>
      </c>
      <c r="H364" s="360">
        <v>97080</v>
      </c>
    </row>
    <row r="365" spans="1:8" x14ac:dyDescent="0.2">
      <c r="A365" s="359" t="s">
        <v>636</v>
      </c>
      <c r="B365" s="359"/>
      <c r="C365" s="359" t="s">
        <v>637</v>
      </c>
      <c r="D365" s="360">
        <v>96024</v>
      </c>
      <c r="E365" s="360">
        <v>96024</v>
      </c>
      <c r="F365" s="360">
        <v>96230</v>
      </c>
      <c r="G365" s="360">
        <v>96637</v>
      </c>
      <c r="H365" s="360">
        <v>96903</v>
      </c>
    </row>
    <row r="366" spans="1:8" x14ac:dyDescent="0.2">
      <c r="A366" s="359" t="s">
        <v>1070</v>
      </c>
      <c r="B366" s="359"/>
      <c r="C366" s="359" t="s">
        <v>1071</v>
      </c>
      <c r="D366" s="360">
        <v>94003</v>
      </c>
      <c r="E366" s="360">
        <v>94003</v>
      </c>
      <c r="F366" s="360">
        <v>94041</v>
      </c>
      <c r="G366" s="360">
        <v>94675</v>
      </c>
      <c r="H366" s="360">
        <v>96620</v>
      </c>
    </row>
    <row r="367" spans="1:8" x14ac:dyDescent="0.2">
      <c r="A367" s="359" t="s">
        <v>848</v>
      </c>
      <c r="B367" s="359"/>
      <c r="C367" s="359" t="s">
        <v>849</v>
      </c>
      <c r="D367" s="360">
        <v>97265</v>
      </c>
      <c r="E367" s="360">
        <v>97265</v>
      </c>
      <c r="F367" s="360">
        <v>97282</v>
      </c>
      <c r="G367" s="360">
        <v>96562</v>
      </c>
      <c r="H367" s="360">
        <v>96304</v>
      </c>
    </row>
    <row r="368" spans="1:8" x14ac:dyDescent="0.2">
      <c r="A368" s="359" t="s">
        <v>940</v>
      </c>
      <c r="B368" s="359"/>
      <c r="C368" s="359" t="s">
        <v>941</v>
      </c>
      <c r="D368" s="360">
        <v>96317</v>
      </c>
      <c r="E368" s="360">
        <v>96317</v>
      </c>
      <c r="F368" s="360">
        <v>96382</v>
      </c>
      <c r="G368" s="360">
        <v>96156</v>
      </c>
      <c r="H368" s="360">
        <v>96177</v>
      </c>
    </row>
    <row r="369" spans="1:8" x14ac:dyDescent="0.2">
      <c r="A369" s="359" t="s">
        <v>524</v>
      </c>
      <c r="B369" s="359"/>
      <c r="C369" s="359" t="s">
        <v>525</v>
      </c>
      <c r="D369" s="360">
        <v>93653</v>
      </c>
      <c r="E369" s="360">
        <v>93653</v>
      </c>
      <c r="F369" s="360">
        <v>93879</v>
      </c>
      <c r="G369" s="360">
        <v>94436</v>
      </c>
      <c r="H369" s="360">
        <v>95097</v>
      </c>
    </row>
    <row r="370" spans="1:8" x14ac:dyDescent="0.2">
      <c r="A370" s="359" t="s">
        <v>442</v>
      </c>
      <c r="B370" s="359"/>
      <c r="C370" s="359" t="s">
        <v>443</v>
      </c>
      <c r="D370" s="360">
        <v>91738</v>
      </c>
      <c r="E370" s="360">
        <v>91738</v>
      </c>
      <c r="F370" s="360">
        <v>92120</v>
      </c>
      <c r="G370" s="360">
        <v>92487</v>
      </c>
      <c r="H370" s="360">
        <v>94483</v>
      </c>
    </row>
    <row r="371" spans="1:8" x14ac:dyDescent="0.2">
      <c r="A371" s="359" t="s">
        <v>872</v>
      </c>
      <c r="B371" s="359"/>
      <c r="C371" s="359" t="s">
        <v>873</v>
      </c>
      <c r="D371" s="360">
        <v>92673</v>
      </c>
      <c r="E371" s="360">
        <v>92673</v>
      </c>
      <c r="F371" s="360">
        <v>92757</v>
      </c>
      <c r="G371" s="360">
        <v>92643</v>
      </c>
      <c r="H371" s="360">
        <v>92548</v>
      </c>
    </row>
    <row r="372" spans="1:8" x14ac:dyDescent="0.2">
      <c r="A372" s="359" t="s">
        <v>322</v>
      </c>
      <c r="B372" s="359"/>
      <c r="C372" s="359" t="s">
        <v>323</v>
      </c>
      <c r="D372" s="360">
        <v>89542</v>
      </c>
      <c r="E372" s="360">
        <v>89542</v>
      </c>
      <c r="F372" s="360">
        <v>89600</v>
      </c>
      <c r="G372" s="360">
        <v>90816</v>
      </c>
      <c r="H372" s="360">
        <v>91140</v>
      </c>
    </row>
    <row r="373" spans="1:8" x14ac:dyDescent="0.2">
      <c r="A373" s="359" t="s">
        <v>540</v>
      </c>
      <c r="B373" s="359"/>
      <c r="C373" s="359" t="s">
        <v>541</v>
      </c>
      <c r="D373" s="360">
        <v>88830</v>
      </c>
      <c r="E373" s="360">
        <v>88830</v>
      </c>
      <c r="F373" s="360">
        <v>88835</v>
      </c>
      <c r="G373" s="360">
        <v>88798</v>
      </c>
      <c r="H373" s="360">
        <v>88911</v>
      </c>
    </row>
    <row r="374" spans="1:8" x14ac:dyDescent="0.2">
      <c r="A374" s="359" t="s">
        <v>482</v>
      </c>
      <c r="B374" s="359"/>
      <c r="C374" s="359" t="s">
        <v>483</v>
      </c>
      <c r="D374" s="360">
        <v>85579</v>
      </c>
      <c r="E374" s="360">
        <v>85581</v>
      </c>
      <c r="F374" s="360">
        <v>85531</v>
      </c>
      <c r="G374" s="360">
        <v>86006</v>
      </c>
      <c r="H374" s="360">
        <v>86430</v>
      </c>
    </row>
    <row r="375" spans="1:8" x14ac:dyDescent="0.2">
      <c r="A375" s="359" t="s">
        <v>382</v>
      </c>
      <c r="B375" s="359"/>
      <c r="C375" s="359" t="s">
        <v>383</v>
      </c>
      <c r="D375" s="360">
        <v>85562</v>
      </c>
      <c r="E375" s="360">
        <v>85563</v>
      </c>
      <c r="F375" s="360">
        <v>85612</v>
      </c>
      <c r="G375" s="360">
        <v>85161</v>
      </c>
      <c r="H375" s="360">
        <v>85243</v>
      </c>
    </row>
    <row r="376" spans="1:8" x14ac:dyDescent="0.2">
      <c r="A376" s="359" t="s">
        <v>786</v>
      </c>
      <c r="B376" s="359"/>
      <c r="C376" s="359" t="s">
        <v>787</v>
      </c>
      <c r="D376" s="360">
        <v>83629</v>
      </c>
      <c r="E376" s="360">
        <v>83629</v>
      </c>
      <c r="F376" s="360">
        <v>83637</v>
      </c>
      <c r="G376" s="360">
        <v>84015</v>
      </c>
      <c r="H376" s="360">
        <v>83822</v>
      </c>
    </row>
    <row r="377" spans="1:8" x14ac:dyDescent="0.2">
      <c r="A377" s="359" t="s">
        <v>896</v>
      </c>
      <c r="B377" s="359"/>
      <c r="C377" s="359" t="s">
        <v>897</v>
      </c>
      <c r="D377" s="360">
        <v>82839</v>
      </c>
      <c r="E377" s="360">
        <v>82839</v>
      </c>
      <c r="F377" s="360">
        <v>82993</v>
      </c>
      <c r="G377" s="360">
        <v>83524</v>
      </c>
      <c r="H377" s="360">
        <v>83800</v>
      </c>
    </row>
    <row r="378" spans="1:8" x14ac:dyDescent="0.2">
      <c r="A378" s="359" t="s">
        <v>592</v>
      </c>
      <c r="B378" s="359"/>
      <c r="C378" s="359" t="s">
        <v>593</v>
      </c>
      <c r="D378" s="360">
        <v>81850</v>
      </c>
      <c r="E378" s="360">
        <v>81850</v>
      </c>
      <c r="F378" s="360">
        <v>82001</v>
      </c>
      <c r="G378" s="360">
        <v>82660</v>
      </c>
      <c r="H378" s="360">
        <v>83472</v>
      </c>
    </row>
    <row r="379" spans="1:8" x14ac:dyDescent="0.2">
      <c r="A379" s="359" t="s">
        <v>598</v>
      </c>
      <c r="B379" s="359"/>
      <c r="C379" s="359" t="s">
        <v>599</v>
      </c>
      <c r="D379" s="360">
        <v>82713</v>
      </c>
      <c r="E379" s="360">
        <v>82713</v>
      </c>
      <c r="F379" s="360">
        <v>82865</v>
      </c>
      <c r="G379" s="360">
        <v>82680</v>
      </c>
      <c r="H379" s="360">
        <v>82930</v>
      </c>
    </row>
    <row r="380" spans="1:8" x14ac:dyDescent="0.2">
      <c r="A380" s="359" t="s">
        <v>694</v>
      </c>
      <c r="B380" s="359"/>
      <c r="C380" s="359" t="s">
        <v>695</v>
      </c>
      <c r="D380" s="360">
        <v>82752</v>
      </c>
      <c r="E380" s="360">
        <v>82752</v>
      </c>
      <c r="F380" s="360">
        <v>82730</v>
      </c>
      <c r="G380" s="360">
        <v>82817</v>
      </c>
      <c r="H380" s="360">
        <v>82849</v>
      </c>
    </row>
    <row r="381" spans="1:8" x14ac:dyDescent="0.2">
      <c r="A381" s="359" t="s">
        <v>600</v>
      </c>
      <c r="B381" s="359"/>
      <c r="C381" s="359" t="s">
        <v>601</v>
      </c>
      <c r="D381" s="360">
        <v>81327</v>
      </c>
      <c r="E381" s="360">
        <v>81327</v>
      </c>
      <c r="F381" s="360">
        <v>81540</v>
      </c>
      <c r="G381" s="360">
        <v>81769</v>
      </c>
      <c r="H381" s="360">
        <v>81723</v>
      </c>
    </row>
    <row r="382" spans="1:8" x14ac:dyDescent="0.2">
      <c r="A382" s="359" t="s">
        <v>632</v>
      </c>
      <c r="B382" s="359"/>
      <c r="C382" s="359" t="s">
        <v>633</v>
      </c>
      <c r="D382" s="360">
        <v>77917</v>
      </c>
      <c r="E382" s="360">
        <v>77917</v>
      </c>
      <c r="F382" s="360">
        <v>77434</v>
      </c>
      <c r="G382" s="360">
        <v>80577</v>
      </c>
      <c r="H382" s="360">
        <v>81519</v>
      </c>
    </row>
    <row r="383" spans="1:8" x14ac:dyDescent="0.2">
      <c r="A383" s="359" t="s">
        <v>496</v>
      </c>
      <c r="B383" s="359"/>
      <c r="C383" s="359" t="s">
        <v>497</v>
      </c>
      <c r="D383" s="360">
        <v>81625</v>
      </c>
      <c r="E383" s="360">
        <v>81625</v>
      </c>
      <c r="F383" s="360">
        <v>81581</v>
      </c>
      <c r="G383" s="360">
        <v>81367</v>
      </c>
      <c r="H383" s="360">
        <v>80727</v>
      </c>
    </row>
    <row r="384" spans="1:8" x14ac:dyDescent="0.2">
      <c r="A384" s="359" t="s">
        <v>476</v>
      </c>
      <c r="B384" s="359"/>
      <c r="C384" s="359" t="s">
        <v>477</v>
      </c>
      <c r="D384" s="360">
        <v>76794</v>
      </c>
      <c r="E384" s="360">
        <v>76794</v>
      </c>
      <c r="F384" s="360">
        <v>76893</v>
      </c>
      <c r="G384" s="360">
        <v>77817</v>
      </c>
      <c r="H384" s="360">
        <v>79129</v>
      </c>
    </row>
    <row r="385" spans="1:8" x14ac:dyDescent="0.2">
      <c r="A385" s="359" t="s">
        <v>424</v>
      </c>
      <c r="B385" s="359"/>
      <c r="C385" s="359" t="s">
        <v>425</v>
      </c>
      <c r="D385" s="360">
        <v>75450</v>
      </c>
      <c r="E385" s="360">
        <v>75450</v>
      </c>
      <c r="F385" s="360">
        <v>75485</v>
      </c>
      <c r="G385" s="360">
        <v>76356</v>
      </c>
      <c r="H385" s="360">
        <v>78621</v>
      </c>
    </row>
    <row r="386" spans="1:8" x14ac:dyDescent="0.2">
      <c r="A386" s="359" t="s">
        <v>1080</v>
      </c>
      <c r="B386" s="359"/>
      <c r="C386" s="359" t="s">
        <v>1081</v>
      </c>
      <c r="D386" s="360">
        <v>62859</v>
      </c>
      <c r="E386" s="360">
        <v>62859</v>
      </c>
      <c r="F386" s="360">
        <v>63024</v>
      </c>
      <c r="G386" s="360">
        <v>63500</v>
      </c>
      <c r="H386" s="360">
        <v>63399</v>
      </c>
    </row>
    <row r="387" spans="1:8" x14ac:dyDescent="0.2">
      <c r="A387" s="359" t="s">
        <v>724</v>
      </c>
      <c r="B387" s="359"/>
      <c r="C387" s="359" t="s">
        <v>725</v>
      </c>
      <c r="D387" s="360">
        <v>60888</v>
      </c>
      <c r="E387" s="360">
        <v>60888</v>
      </c>
      <c r="F387" s="360">
        <v>61009</v>
      </c>
      <c r="G387" s="360">
        <v>61327</v>
      </c>
      <c r="H387" s="360">
        <v>61419</v>
      </c>
    </row>
    <row r="388" spans="1:8" x14ac:dyDescent="0.2">
      <c r="A388" s="359" t="s">
        <v>422</v>
      </c>
      <c r="B388" s="359"/>
      <c r="C388" s="359" t="s">
        <v>423</v>
      </c>
      <c r="D388" s="360">
        <v>55274</v>
      </c>
      <c r="E388" s="360">
        <v>55274</v>
      </c>
      <c r="F388" s="360">
        <v>55278</v>
      </c>
      <c r="G388" s="360">
        <v>54851</v>
      </c>
      <c r="H388" s="360">
        <v>54838</v>
      </c>
    </row>
    <row r="389" spans="1:8" x14ac:dyDescent="0.2">
      <c r="A389" s="356"/>
      <c r="B389" s="356"/>
      <c r="C389" s="357" t="s">
        <v>301</v>
      </c>
      <c r="D389" s="358"/>
      <c r="E389" s="358"/>
      <c r="F389" s="358"/>
      <c r="G389" s="358"/>
      <c r="H389" s="358"/>
    </row>
    <row r="390" spans="1:8" x14ac:dyDescent="0.2">
      <c r="A390" s="362"/>
      <c r="B390" s="362"/>
      <c r="C390" s="362"/>
      <c r="D390" s="363"/>
      <c r="E390" s="363"/>
      <c r="F390" s="363"/>
      <c r="G390" s="363"/>
      <c r="H390" s="363"/>
    </row>
    <row r="391" spans="1:8" x14ac:dyDescent="0.2">
      <c r="A391" s="359"/>
      <c r="B391" s="359"/>
      <c r="C391" s="357" t="s">
        <v>1126</v>
      </c>
      <c r="D391" s="360"/>
      <c r="E391" s="360"/>
      <c r="F391" s="360"/>
      <c r="G391" s="360"/>
      <c r="H391" s="360"/>
    </row>
    <row r="392" spans="1:8" x14ac:dyDescent="0.2">
      <c r="A392" s="359" t="s">
        <v>1127</v>
      </c>
      <c r="B392" s="359"/>
      <c r="C392" s="359" t="s">
        <v>1128</v>
      </c>
      <c r="D392" s="360">
        <v>40602</v>
      </c>
      <c r="E392" s="360">
        <v>40602</v>
      </c>
      <c r="F392" s="360">
        <v>40688</v>
      </c>
      <c r="G392" s="360">
        <v>40883</v>
      </c>
      <c r="H392" s="360">
        <v>41357</v>
      </c>
    </row>
    <row r="393" spans="1:8" x14ac:dyDescent="0.2">
      <c r="A393" s="359" t="s">
        <v>1129</v>
      </c>
      <c r="B393" s="359"/>
      <c r="C393" s="359" t="s">
        <v>1130</v>
      </c>
      <c r="D393" s="360">
        <v>72797</v>
      </c>
      <c r="E393" s="360">
        <v>72797</v>
      </c>
      <c r="F393" s="360">
        <v>72859</v>
      </c>
      <c r="G393" s="360">
        <v>72316</v>
      </c>
      <c r="H393" s="360">
        <v>71692</v>
      </c>
    </row>
    <row r="394" spans="1:8" x14ac:dyDescent="0.2">
      <c r="A394" s="359" t="s">
        <v>1131</v>
      </c>
      <c r="B394" s="359"/>
      <c r="C394" s="359" t="s">
        <v>1132</v>
      </c>
      <c r="D394" s="360">
        <v>37492</v>
      </c>
      <c r="E394" s="360">
        <v>37492</v>
      </c>
      <c r="F394" s="360">
        <v>37587</v>
      </c>
      <c r="G394" s="360">
        <v>37676</v>
      </c>
      <c r="H394" s="360">
        <v>37958</v>
      </c>
    </row>
    <row r="395" spans="1:8" x14ac:dyDescent="0.2">
      <c r="A395" s="359" t="s">
        <v>1133</v>
      </c>
      <c r="B395" s="359"/>
      <c r="C395" s="359" t="s">
        <v>1134</v>
      </c>
      <c r="D395" s="360">
        <v>99892</v>
      </c>
      <c r="E395" s="360">
        <v>99892</v>
      </c>
      <c r="F395" s="360">
        <v>99646</v>
      </c>
      <c r="G395" s="360">
        <v>99340</v>
      </c>
      <c r="H395" s="360">
        <v>98987</v>
      </c>
    </row>
    <row r="396" spans="1:8" x14ac:dyDescent="0.2">
      <c r="A396" s="359" t="s">
        <v>1135</v>
      </c>
      <c r="B396" s="359"/>
      <c r="C396" s="359" t="s">
        <v>1136</v>
      </c>
      <c r="D396" s="360">
        <v>63797</v>
      </c>
      <c r="E396" s="360">
        <v>63797</v>
      </c>
      <c r="F396" s="360">
        <v>64319</v>
      </c>
      <c r="G396" s="360">
        <v>65558</v>
      </c>
      <c r="H396" s="360">
        <v>66041</v>
      </c>
    </row>
    <row r="397" spans="1:8" x14ac:dyDescent="0.2">
      <c r="A397" s="359" t="s">
        <v>1137</v>
      </c>
      <c r="B397" s="359"/>
      <c r="C397" s="359" t="s">
        <v>1138</v>
      </c>
      <c r="D397" s="360">
        <v>60585</v>
      </c>
      <c r="E397" s="360">
        <v>60585</v>
      </c>
      <c r="F397" s="360">
        <v>60529</v>
      </c>
      <c r="G397" s="360">
        <v>60428</v>
      </c>
      <c r="H397" s="360">
        <v>60576</v>
      </c>
    </row>
    <row r="398" spans="1:8" x14ac:dyDescent="0.2">
      <c r="A398" s="359" t="s">
        <v>1139</v>
      </c>
      <c r="B398" s="359"/>
      <c r="C398" s="359" t="s">
        <v>1140</v>
      </c>
      <c r="D398" s="360">
        <v>31255</v>
      </c>
      <c r="E398" s="360">
        <v>31255</v>
      </c>
      <c r="F398" s="360">
        <v>31214</v>
      </c>
      <c r="G398" s="360">
        <v>31090</v>
      </c>
      <c r="H398" s="360">
        <v>31054</v>
      </c>
    </row>
    <row r="399" spans="1:8" x14ac:dyDescent="0.2">
      <c r="A399" s="359" t="s">
        <v>1141</v>
      </c>
      <c r="B399" s="359"/>
      <c r="C399" s="359" t="s">
        <v>1142</v>
      </c>
      <c r="D399" s="360">
        <v>93019</v>
      </c>
      <c r="E399" s="360">
        <v>93019</v>
      </c>
      <c r="F399" s="360">
        <v>93185</v>
      </c>
      <c r="G399" s="360">
        <v>94102</v>
      </c>
      <c r="H399" s="360">
        <v>94776</v>
      </c>
    </row>
    <row r="400" spans="1:8" x14ac:dyDescent="0.2">
      <c r="A400" s="359" t="s">
        <v>1143</v>
      </c>
      <c r="B400" s="359"/>
      <c r="C400" s="359" t="s">
        <v>1144</v>
      </c>
      <c r="D400" s="360">
        <v>36009</v>
      </c>
      <c r="E400" s="360">
        <v>36009</v>
      </c>
      <c r="F400" s="360">
        <v>36002</v>
      </c>
      <c r="G400" s="360">
        <v>36233</v>
      </c>
      <c r="H400" s="360">
        <v>36415</v>
      </c>
    </row>
    <row r="401" spans="1:8" x14ac:dyDescent="0.2">
      <c r="A401" s="359" t="s">
        <v>1145</v>
      </c>
      <c r="B401" s="359"/>
      <c r="C401" s="359" t="s">
        <v>1146</v>
      </c>
      <c r="D401" s="360">
        <v>40838</v>
      </c>
      <c r="E401" s="360">
        <v>40837</v>
      </c>
      <c r="F401" s="360">
        <v>40892</v>
      </c>
      <c r="G401" s="360">
        <v>41235</v>
      </c>
      <c r="H401" s="360">
        <v>41754</v>
      </c>
    </row>
    <row r="402" spans="1:8" x14ac:dyDescent="0.2">
      <c r="A402" s="359" t="s">
        <v>1147</v>
      </c>
      <c r="B402" s="359"/>
      <c r="C402" s="359" t="s">
        <v>1148</v>
      </c>
      <c r="D402" s="360">
        <v>42476</v>
      </c>
      <c r="E402" s="360">
        <v>42476</v>
      </c>
      <c r="F402" s="360">
        <v>42439</v>
      </c>
      <c r="G402" s="360">
        <v>42139</v>
      </c>
      <c r="H402" s="360">
        <v>42063</v>
      </c>
    </row>
    <row r="403" spans="1:8" x14ac:dyDescent="0.2">
      <c r="A403" s="359" t="s">
        <v>1149</v>
      </c>
      <c r="B403" s="359"/>
      <c r="C403" s="359" t="s">
        <v>1150</v>
      </c>
      <c r="D403" s="360">
        <v>29598</v>
      </c>
      <c r="E403" s="360">
        <v>29598</v>
      </c>
      <c r="F403" s="360">
        <v>29551</v>
      </c>
      <c r="G403" s="360">
        <v>29352</v>
      </c>
      <c r="H403" s="360">
        <v>29234</v>
      </c>
    </row>
    <row r="404" spans="1:8" x14ac:dyDescent="0.2">
      <c r="A404" s="359" t="s">
        <v>1151</v>
      </c>
      <c r="B404" s="359"/>
      <c r="C404" s="359" t="s">
        <v>1152</v>
      </c>
      <c r="D404" s="360">
        <v>26446</v>
      </c>
      <c r="E404" s="360">
        <v>26446</v>
      </c>
      <c r="F404" s="360">
        <v>26458</v>
      </c>
      <c r="G404" s="360">
        <v>26386</v>
      </c>
      <c r="H404" s="360">
        <v>26237</v>
      </c>
    </row>
    <row r="405" spans="1:8" x14ac:dyDescent="0.2">
      <c r="A405" s="359" t="s">
        <v>1153</v>
      </c>
      <c r="B405" s="359"/>
      <c r="C405" s="359" t="s">
        <v>1154</v>
      </c>
      <c r="D405" s="360">
        <v>37829</v>
      </c>
      <c r="E405" s="360">
        <v>37827</v>
      </c>
      <c r="F405" s="360">
        <v>37739</v>
      </c>
      <c r="G405" s="360">
        <v>37134</v>
      </c>
      <c r="H405" s="360">
        <v>36544</v>
      </c>
    </row>
    <row r="406" spans="1:8" x14ac:dyDescent="0.2">
      <c r="A406" s="359" t="s">
        <v>1155</v>
      </c>
      <c r="B406" s="359"/>
      <c r="C406" s="359" t="s">
        <v>1156</v>
      </c>
      <c r="D406" s="360">
        <v>50219</v>
      </c>
      <c r="E406" s="360">
        <v>50219</v>
      </c>
      <c r="F406" s="360">
        <v>50246</v>
      </c>
      <c r="G406" s="360">
        <v>49987</v>
      </c>
      <c r="H406" s="360">
        <v>49941</v>
      </c>
    </row>
    <row r="407" spans="1:8" x14ac:dyDescent="0.2">
      <c r="A407" s="359" t="s">
        <v>1157</v>
      </c>
      <c r="B407" s="359"/>
      <c r="C407" s="359" t="s">
        <v>1158</v>
      </c>
      <c r="D407" s="360">
        <v>14786</v>
      </c>
      <c r="E407" s="360">
        <v>14786</v>
      </c>
      <c r="F407" s="360">
        <v>14820</v>
      </c>
      <c r="G407" s="360">
        <v>15394</v>
      </c>
      <c r="H407" s="360">
        <v>16117</v>
      </c>
    </row>
    <row r="408" spans="1:8" x14ac:dyDescent="0.2">
      <c r="A408" s="359" t="s">
        <v>1159</v>
      </c>
      <c r="B408" s="359"/>
      <c r="C408" s="359" t="s">
        <v>1160</v>
      </c>
      <c r="D408" s="360">
        <v>34185</v>
      </c>
      <c r="E408" s="360">
        <v>34185</v>
      </c>
      <c r="F408" s="360">
        <v>34141</v>
      </c>
      <c r="G408" s="360">
        <v>34064</v>
      </c>
      <c r="H408" s="360">
        <v>34124</v>
      </c>
    </row>
    <row r="409" spans="1:8" x14ac:dyDescent="0.2">
      <c r="A409" s="359" t="s">
        <v>1161</v>
      </c>
      <c r="B409" s="359"/>
      <c r="C409" s="359" t="s">
        <v>1162</v>
      </c>
      <c r="D409" s="360">
        <v>34862</v>
      </c>
      <c r="E409" s="360">
        <v>34862</v>
      </c>
      <c r="F409" s="360">
        <v>34891</v>
      </c>
      <c r="G409" s="360">
        <v>34573</v>
      </c>
      <c r="H409" s="360">
        <v>34712</v>
      </c>
    </row>
    <row r="410" spans="1:8" x14ac:dyDescent="0.2">
      <c r="A410" s="359" t="s">
        <v>1163</v>
      </c>
      <c r="B410" s="359"/>
      <c r="C410" s="359" t="s">
        <v>1164</v>
      </c>
      <c r="D410" s="360">
        <v>47557</v>
      </c>
      <c r="E410" s="360">
        <v>47563</v>
      </c>
      <c r="F410" s="360">
        <v>47633</v>
      </c>
      <c r="G410" s="360">
        <v>47964</v>
      </c>
      <c r="H410" s="360">
        <v>48085</v>
      </c>
    </row>
    <row r="411" spans="1:8" x14ac:dyDescent="0.2">
      <c r="A411" s="359" t="s">
        <v>1165</v>
      </c>
      <c r="B411" s="359"/>
      <c r="C411" s="359" t="s">
        <v>1166</v>
      </c>
      <c r="D411" s="360">
        <v>22995</v>
      </c>
      <c r="E411" s="360">
        <v>22995</v>
      </c>
      <c r="F411" s="360">
        <v>22954</v>
      </c>
      <c r="G411" s="360">
        <v>22986</v>
      </c>
      <c r="H411" s="360">
        <v>22936</v>
      </c>
    </row>
    <row r="412" spans="1:8" x14ac:dyDescent="0.2">
      <c r="A412" s="359" t="s">
        <v>1167</v>
      </c>
      <c r="B412" s="359"/>
      <c r="C412" s="359" t="s">
        <v>1168</v>
      </c>
      <c r="D412" s="360">
        <v>36311</v>
      </c>
      <c r="E412" s="360">
        <v>36311</v>
      </c>
      <c r="F412" s="360">
        <v>36292</v>
      </c>
      <c r="G412" s="360">
        <v>36238</v>
      </c>
      <c r="H412" s="360">
        <v>36288</v>
      </c>
    </row>
    <row r="413" spans="1:8" x14ac:dyDescent="0.2">
      <c r="A413" s="359" t="s">
        <v>1169</v>
      </c>
      <c r="B413" s="359"/>
      <c r="C413" s="359" t="s">
        <v>1170</v>
      </c>
      <c r="D413" s="360">
        <v>53139</v>
      </c>
      <c r="E413" s="360">
        <v>53139</v>
      </c>
      <c r="F413" s="360">
        <v>53161</v>
      </c>
      <c r="G413" s="360">
        <v>53088</v>
      </c>
      <c r="H413" s="360">
        <v>52962</v>
      </c>
    </row>
    <row r="414" spans="1:8" x14ac:dyDescent="0.2">
      <c r="A414" s="359" t="s">
        <v>1171</v>
      </c>
      <c r="B414" s="359"/>
      <c r="C414" s="359" t="s">
        <v>1172</v>
      </c>
      <c r="D414" s="360">
        <v>101497</v>
      </c>
      <c r="E414" s="360">
        <v>101497</v>
      </c>
      <c r="F414" s="360">
        <v>101425</v>
      </c>
      <c r="G414" s="360">
        <v>101086</v>
      </c>
      <c r="H414" s="360">
        <v>100389</v>
      </c>
    </row>
    <row r="415" spans="1:8" x14ac:dyDescent="0.2">
      <c r="A415" s="359" t="s">
        <v>1173</v>
      </c>
      <c r="B415" s="359"/>
      <c r="C415" s="359" t="s">
        <v>1174</v>
      </c>
      <c r="D415" s="360">
        <v>37039</v>
      </c>
      <c r="E415" s="360">
        <v>37039</v>
      </c>
      <c r="F415" s="360">
        <v>37073</v>
      </c>
      <c r="G415" s="360">
        <v>37171</v>
      </c>
      <c r="H415" s="360">
        <v>37301</v>
      </c>
    </row>
    <row r="416" spans="1:8" x14ac:dyDescent="0.2">
      <c r="A416" s="359" t="s">
        <v>1175</v>
      </c>
      <c r="B416" s="359"/>
      <c r="C416" s="359" t="s">
        <v>1176</v>
      </c>
      <c r="D416" s="360">
        <v>16924</v>
      </c>
      <c r="E416" s="360">
        <v>16924</v>
      </c>
      <c r="F416" s="360">
        <v>16875</v>
      </c>
      <c r="G416" s="360">
        <v>16799</v>
      </c>
      <c r="H416" s="360">
        <v>16813</v>
      </c>
    </row>
    <row r="417" spans="1:8" x14ac:dyDescent="0.2">
      <c r="A417" s="359" t="s">
        <v>1177</v>
      </c>
      <c r="B417" s="359"/>
      <c r="C417" s="359" t="s">
        <v>1178</v>
      </c>
      <c r="D417" s="360">
        <v>64757</v>
      </c>
      <c r="E417" s="360">
        <v>64755</v>
      </c>
      <c r="F417" s="360">
        <v>64805</v>
      </c>
      <c r="G417" s="360">
        <v>64685</v>
      </c>
      <c r="H417" s="360">
        <v>64304</v>
      </c>
    </row>
    <row r="418" spans="1:8" x14ac:dyDescent="0.2">
      <c r="A418" s="359" t="s">
        <v>1179</v>
      </c>
      <c r="B418" s="359"/>
      <c r="C418" s="359" t="s">
        <v>1180</v>
      </c>
      <c r="D418" s="360">
        <v>52266</v>
      </c>
      <c r="E418" s="360">
        <v>52266</v>
      </c>
      <c r="F418" s="360">
        <v>52215</v>
      </c>
      <c r="G418" s="360">
        <v>52380</v>
      </c>
      <c r="H418" s="360">
        <v>52416</v>
      </c>
    </row>
    <row r="419" spans="1:8" x14ac:dyDescent="0.2">
      <c r="A419" s="359" t="s">
        <v>1181</v>
      </c>
      <c r="B419" s="359"/>
      <c r="C419" s="359" t="s">
        <v>1182</v>
      </c>
      <c r="D419" s="360">
        <v>78532</v>
      </c>
      <c r="E419" s="360">
        <v>78536</v>
      </c>
      <c r="F419" s="360">
        <v>78681</v>
      </c>
      <c r="G419" s="360">
        <v>78753</v>
      </c>
      <c r="H419" s="360">
        <v>79094</v>
      </c>
    </row>
    <row r="420" spans="1:8" x14ac:dyDescent="0.2">
      <c r="A420" s="359" t="s">
        <v>1183</v>
      </c>
      <c r="B420" s="359"/>
      <c r="C420" s="359" t="s">
        <v>1184</v>
      </c>
      <c r="D420" s="360">
        <v>42223</v>
      </c>
      <c r="E420" s="360">
        <v>42223</v>
      </c>
      <c r="F420" s="360">
        <v>42250</v>
      </c>
      <c r="G420" s="360">
        <v>42433</v>
      </c>
      <c r="H420" s="360">
        <v>42321</v>
      </c>
    </row>
    <row r="421" spans="1:8" x14ac:dyDescent="0.2">
      <c r="A421" s="359" t="s">
        <v>1185</v>
      </c>
      <c r="B421" s="359"/>
      <c r="C421" s="359" t="s">
        <v>1186</v>
      </c>
      <c r="D421" s="360">
        <v>80026</v>
      </c>
      <c r="E421" s="360">
        <v>80026</v>
      </c>
      <c r="F421" s="360">
        <v>79928</v>
      </c>
      <c r="G421" s="360">
        <v>79844</v>
      </c>
      <c r="H421" s="360">
        <v>79552</v>
      </c>
    </row>
    <row r="422" spans="1:8" x14ac:dyDescent="0.2">
      <c r="A422" s="359" t="s">
        <v>1187</v>
      </c>
      <c r="B422" s="359"/>
      <c r="C422" s="359" t="s">
        <v>1188</v>
      </c>
      <c r="D422" s="360">
        <v>122151</v>
      </c>
      <c r="E422" s="360">
        <v>122151</v>
      </c>
      <c r="F422" s="360">
        <v>122112</v>
      </c>
      <c r="G422" s="360">
        <v>121912</v>
      </c>
      <c r="H422" s="360">
        <v>121853</v>
      </c>
    </row>
    <row r="423" spans="1:8" x14ac:dyDescent="0.2">
      <c r="A423" s="359" t="s">
        <v>1189</v>
      </c>
      <c r="B423" s="359"/>
      <c r="C423" s="359" t="s">
        <v>1190</v>
      </c>
      <c r="D423" s="360">
        <v>39163</v>
      </c>
      <c r="E423" s="360">
        <v>39163</v>
      </c>
      <c r="F423" s="360">
        <v>39193</v>
      </c>
      <c r="G423" s="360">
        <v>39294</v>
      </c>
      <c r="H423" s="360">
        <v>39372</v>
      </c>
    </row>
    <row r="424" spans="1:8" x14ac:dyDescent="0.2">
      <c r="A424" s="359" t="s">
        <v>1191</v>
      </c>
      <c r="B424" s="359"/>
      <c r="C424" s="359" t="s">
        <v>1192</v>
      </c>
      <c r="D424" s="360">
        <v>27842</v>
      </c>
      <c r="E424" s="360">
        <v>27842</v>
      </c>
      <c r="F424" s="360">
        <v>27823</v>
      </c>
      <c r="G424" s="360">
        <v>27675</v>
      </c>
      <c r="H424" s="360">
        <v>27509</v>
      </c>
    </row>
    <row r="425" spans="1:8" x14ac:dyDescent="0.2">
      <c r="A425" s="359" t="s">
        <v>1193</v>
      </c>
      <c r="B425" s="359"/>
      <c r="C425" s="359" t="s">
        <v>1194</v>
      </c>
      <c r="D425" s="360">
        <v>61976</v>
      </c>
      <c r="E425" s="360">
        <v>61976</v>
      </c>
      <c r="F425" s="360">
        <v>62006</v>
      </c>
      <c r="G425" s="360">
        <v>62369</v>
      </c>
      <c r="H425" s="360">
        <v>62597</v>
      </c>
    </row>
    <row r="426" spans="1:8" x14ac:dyDescent="0.2">
      <c r="A426" s="359" t="s">
        <v>1195</v>
      </c>
      <c r="B426" s="359"/>
      <c r="C426" s="359" t="s">
        <v>1196</v>
      </c>
      <c r="D426" s="360">
        <v>43437</v>
      </c>
      <c r="E426" s="360">
        <v>43437</v>
      </c>
      <c r="F426" s="360">
        <v>43594</v>
      </c>
      <c r="G426" s="360">
        <v>44027</v>
      </c>
      <c r="H426" s="360">
        <v>44319</v>
      </c>
    </row>
    <row r="427" spans="1:8" x14ac:dyDescent="0.2">
      <c r="A427" s="359" t="s">
        <v>1197</v>
      </c>
      <c r="B427" s="359"/>
      <c r="C427" s="359" t="s">
        <v>1198</v>
      </c>
      <c r="D427" s="360">
        <v>59534</v>
      </c>
      <c r="E427" s="360">
        <v>59535</v>
      </c>
      <c r="F427" s="360">
        <v>59600</v>
      </c>
      <c r="G427" s="360">
        <v>59615</v>
      </c>
      <c r="H427" s="360">
        <v>59465</v>
      </c>
    </row>
    <row r="428" spans="1:8" x14ac:dyDescent="0.2">
      <c r="A428" s="359" t="s">
        <v>1199</v>
      </c>
      <c r="B428" s="359"/>
      <c r="C428" s="359" t="s">
        <v>1200</v>
      </c>
      <c r="D428" s="360">
        <v>50976</v>
      </c>
      <c r="E428" s="360">
        <v>50976</v>
      </c>
      <c r="F428" s="360">
        <v>51070</v>
      </c>
      <c r="G428" s="360">
        <v>51460</v>
      </c>
      <c r="H428" s="360">
        <v>51633</v>
      </c>
    </row>
    <row r="429" spans="1:8" x14ac:dyDescent="0.2">
      <c r="A429" s="359" t="s">
        <v>1201</v>
      </c>
      <c r="B429" s="359"/>
      <c r="C429" s="359" t="s">
        <v>1202</v>
      </c>
      <c r="D429" s="360">
        <v>27979</v>
      </c>
      <c r="E429" s="360">
        <v>27979</v>
      </c>
      <c r="F429" s="360">
        <v>27900</v>
      </c>
      <c r="G429" s="360">
        <v>27546</v>
      </c>
      <c r="H429" s="360">
        <v>27559</v>
      </c>
    </row>
    <row r="430" spans="1:8" x14ac:dyDescent="0.2">
      <c r="A430" s="359" t="s">
        <v>1203</v>
      </c>
      <c r="B430" s="359"/>
      <c r="C430" s="359" t="s">
        <v>1204</v>
      </c>
      <c r="D430" s="360">
        <v>60079</v>
      </c>
      <c r="E430" s="360">
        <v>60079</v>
      </c>
      <c r="F430" s="360">
        <v>60073</v>
      </c>
      <c r="G430" s="360">
        <v>60082</v>
      </c>
      <c r="H430" s="360">
        <v>59977</v>
      </c>
    </row>
    <row r="431" spans="1:8" x14ac:dyDescent="0.2">
      <c r="A431" s="359" t="s">
        <v>1205</v>
      </c>
      <c r="B431" s="359"/>
      <c r="C431" s="359" t="s">
        <v>1206</v>
      </c>
      <c r="D431" s="360">
        <v>36647</v>
      </c>
      <c r="E431" s="360">
        <v>36646</v>
      </c>
      <c r="F431" s="360">
        <v>36827</v>
      </c>
      <c r="G431" s="360">
        <v>36890</v>
      </c>
      <c r="H431" s="360">
        <v>37025</v>
      </c>
    </row>
    <row r="432" spans="1:8" x14ac:dyDescent="0.2">
      <c r="A432" s="359" t="s">
        <v>1207</v>
      </c>
      <c r="B432" s="359"/>
      <c r="C432" s="359" t="s">
        <v>1208</v>
      </c>
      <c r="D432" s="360">
        <v>36702</v>
      </c>
      <c r="E432" s="360">
        <v>36702</v>
      </c>
      <c r="F432" s="360">
        <v>36722</v>
      </c>
      <c r="G432" s="360">
        <v>36708</v>
      </c>
      <c r="H432" s="360">
        <v>36547</v>
      </c>
    </row>
    <row r="433" spans="1:8" x14ac:dyDescent="0.2">
      <c r="A433" s="359" t="s">
        <v>1209</v>
      </c>
      <c r="B433" s="359"/>
      <c r="C433" s="359" t="s">
        <v>1210</v>
      </c>
      <c r="D433" s="360">
        <v>22311</v>
      </c>
      <c r="E433" s="360">
        <v>22311</v>
      </c>
      <c r="F433" s="360">
        <v>22301</v>
      </c>
      <c r="G433" s="360">
        <v>21998</v>
      </c>
      <c r="H433" s="360">
        <v>21806</v>
      </c>
    </row>
    <row r="434" spans="1:8" x14ac:dyDescent="0.2">
      <c r="A434" s="359" t="s">
        <v>1211</v>
      </c>
      <c r="B434" s="359"/>
      <c r="C434" s="359" t="s">
        <v>1212</v>
      </c>
      <c r="D434" s="360">
        <v>88759</v>
      </c>
      <c r="E434" s="360">
        <v>88759</v>
      </c>
      <c r="F434" s="360">
        <v>88652</v>
      </c>
      <c r="G434" s="360">
        <v>88721</v>
      </c>
      <c r="H434" s="360">
        <v>88415</v>
      </c>
    </row>
    <row r="435" spans="1:8" x14ac:dyDescent="0.2">
      <c r="A435" s="359" t="s">
        <v>1213</v>
      </c>
      <c r="B435" s="359"/>
      <c r="C435" s="359" t="s">
        <v>1214</v>
      </c>
      <c r="D435" s="360">
        <v>46134</v>
      </c>
      <c r="E435" s="360">
        <v>46134</v>
      </c>
      <c r="F435" s="360">
        <v>46134</v>
      </c>
      <c r="G435" s="360">
        <v>46073</v>
      </c>
      <c r="H435" s="360">
        <v>46078</v>
      </c>
    </row>
    <row r="436" spans="1:8" x14ac:dyDescent="0.2">
      <c r="A436" s="359" t="s">
        <v>1215</v>
      </c>
      <c r="B436" s="359"/>
      <c r="C436" s="359" t="s">
        <v>1216</v>
      </c>
      <c r="D436" s="360">
        <v>31861</v>
      </c>
      <c r="E436" s="360">
        <v>31861</v>
      </c>
      <c r="F436" s="360">
        <v>31871</v>
      </c>
      <c r="G436" s="360">
        <v>32338</v>
      </c>
      <c r="H436" s="360">
        <v>32527</v>
      </c>
    </row>
    <row r="437" spans="1:8" x14ac:dyDescent="0.2">
      <c r="A437" s="359" t="s">
        <v>1217</v>
      </c>
      <c r="B437" s="359"/>
      <c r="C437" s="359" t="s">
        <v>1218</v>
      </c>
      <c r="D437" s="360">
        <v>45858</v>
      </c>
      <c r="E437" s="360">
        <v>45858</v>
      </c>
      <c r="F437" s="360">
        <v>45797</v>
      </c>
      <c r="G437" s="360">
        <v>45638</v>
      </c>
      <c r="H437" s="360">
        <v>45474</v>
      </c>
    </row>
    <row r="438" spans="1:8" x14ac:dyDescent="0.2">
      <c r="A438" s="359" t="s">
        <v>1219</v>
      </c>
      <c r="B438" s="359"/>
      <c r="C438" s="359" t="s">
        <v>1220</v>
      </c>
      <c r="D438" s="360">
        <v>44442</v>
      </c>
      <c r="E438" s="360">
        <v>44442</v>
      </c>
      <c r="F438" s="360">
        <v>44588</v>
      </c>
      <c r="G438" s="360">
        <v>45254</v>
      </c>
      <c r="H438" s="360">
        <v>45375</v>
      </c>
    </row>
    <row r="439" spans="1:8" x14ac:dyDescent="0.2">
      <c r="A439" s="359" t="s">
        <v>1221</v>
      </c>
      <c r="B439" s="359"/>
      <c r="C439" s="359" t="s">
        <v>1222</v>
      </c>
      <c r="D439" s="360">
        <v>28933</v>
      </c>
      <c r="E439" s="360">
        <v>28933</v>
      </c>
      <c r="F439" s="360">
        <v>28872</v>
      </c>
      <c r="G439" s="360">
        <v>28467</v>
      </c>
      <c r="H439" s="360">
        <v>28145</v>
      </c>
    </row>
    <row r="440" spans="1:8" x14ac:dyDescent="0.2">
      <c r="A440" s="359" t="s">
        <v>1223</v>
      </c>
      <c r="B440" s="359"/>
      <c r="C440" s="359" t="s">
        <v>1224</v>
      </c>
      <c r="D440" s="360">
        <v>37125</v>
      </c>
      <c r="E440" s="360">
        <v>37125</v>
      </c>
      <c r="F440" s="360">
        <v>37091</v>
      </c>
      <c r="G440" s="360">
        <v>36842</v>
      </c>
      <c r="H440" s="360">
        <v>36697</v>
      </c>
    </row>
    <row r="441" spans="1:8" x14ac:dyDescent="0.2">
      <c r="A441" s="359" t="s">
        <v>1225</v>
      </c>
      <c r="B441" s="359"/>
      <c r="C441" s="359" t="s">
        <v>1226</v>
      </c>
      <c r="D441" s="360">
        <v>39361</v>
      </c>
      <c r="E441" s="360">
        <v>39358</v>
      </c>
      <c r="F441" s="360">
        <v>39257</v>
      </c>
      <c r="G441" s="360">
        <v>38914</v>
      </c>
      <c r="H441" s="360">
        <v>38322</v>
      </c>
    </row>
    <row r="442" spans="1:8" x14ac:dyDescent="0.2">
      <c r="A442" s="359" t="s">
        <v>1227</v>
      </c>
      <c r="B442" s="359"/>
      <c r="C442" s="359" t="s">
        <v>1228</v>
      </c>
      <c r="D442" s="360">
        <v>42798</v>
      </c>
      <c r="E442" s="360">
        <v>42798</v>
      </c>
      <c r="F442" s="360">
        <v>42815</v>
      </c>
      <c r="G442" s="360">
        <v>43296</v>
      </c>
      <c r="H442" s="360">
        <v>43318</v>
      </c>
    </row>
    <row r="443" spans="1:8" x14ac:dyDescent="0.2">
      <c r="A443" s="359" t="s">
        <v>1229</v>
      </c>
      <c r="B443" s="359"/>
      <c r="C443" s="359" t="s">
        <v>1230</v>
      </c>
      <c r="D443" s="360">
        <v>36238</v>
      </c>
      <c r="E443" s="360">
        <v>36238</v>
      </c>
      <c r="F443" s="360">
        <v>36226</v>
      </c>
      <c r="G443" s="360">
        <v>36194</v>
      </c>
      <c r="H443" s="360">
        <v>36667</v>
      </c>
    </row>
    <row r="444" spans="1:8" x14ac:dyDescent="0.2">
      <c r="A444" s="359" t="s">
        <v>1231</v>
      </c>
      <c r="B444" s="359"/>
      <c r="C444" s="359" t="s">
        <v>1232</v>
      </c>
      <c r="D444" s="360">
        <v>61313</v>
      </c>
      <c r="E444" s="360">
        <v>61316</v>
      </c>
      <c r="F444" s="360">
        <v>61460</v>
      </c>
      <c r="G444" s="360">
        <v>61196</v>
      </c>
      <c r="H444" s="360">
        <v>60676</v>
      </c>
    </row>
    <row r="445" spans="1:8" x14ac:dyDescent="0.2">
      <c r="A445" s="359" t="s">
        <v>1233</v>
      </c>
      <c r="B445" s="359"/>
      <c r="C445" s="359" t="s">
        <v>1234</v>
      </c>
      <c r="D445" s="360">
        <v>45607</v>
      </c>
      <c r="E445" s="360">
        <v>45607</v>
      </c>
      <c r="F445" s="360">
        <v>45734</v>
      </c>
      <c r="G445" s="360">
        <v>45850</v>
      </c>
      <c r="H445" s="360">
        <v>45474</v>
      </c>
    </row>
    <row r="446" spans="1:8" x14ac:dyDescent="0.2">
      <c r="A446" s="359" t="s">
        <v>1235</v>
      </c>
      <c r="B446" s="359"/>
      <c r="C446" s="359" t="s">
        <v>1236</v>
      </c>
      <c r="D446" s="360">
        <v>107342</v>
      </c>
      <c r="E446" s="360">
        <v>107344</v>
      </c>
      <c r="F446" s="360">
        <v>107450</v>
      </c>
      <c r="G446" s="360">
        <v>107133</v>
      </c>
      <c r="H446" s="360">
        <v>106791</v>
      </c>
    </row>
    <row r="447" spans="1:8" x14ac:dyDescent="0.2">
      <c r="A447" s="359" t="s">
        <v>1237</v>
      </c>
      <c r="B447" s="359"/>
      <c r="C447" s="359" t="s">
        <v>1238</v>
      </c>
      <c r="D447" s="360">
        <v>46480</v>
      </c>
      <c r="E447" s="360">
        <v>46480</v>
      </c>
      <c r="F447" s="360">
        <v>46406</v>
      </c>
      <c r="G447" s="360">
        <v>46079</v>
      </c>
      <c r="H447" s="360">
        <v>45562</v>
      </c>
    </row>
    <row r="448" spans="1:8" x14ac:dyDescent="0.2">
      <c r="A448" s="359" t="s">
        <v>1239</v>
      </c>
      <c r="B448" s="359"/>
      <c r="C448" s="359" t="s">
        <v>1240</v>
      </c>
      <c r="D448" s="360">
        <v>47168</v>
      </c>
      <c r="E448" s="360">
        <v>47171</v>
      </c>
      <c r="F448" s="360">
        <v>47067</v>
      </c>
      <c r="G448" s="360">
        <v>47125</v>
      </c>
      <c r="H448" s="360">
        <v>46670</v>
      </c>
    </row>
    <row r="449" spans="1:8" x14ac:dyDescent="0.2">
      <c r="A449" s="359" t="s">
        <v>1241</v>
      </c>
      <c r="B449" s="359"/>
      <c r="C449" s="359" t="s">
        <v>1242</v>
      </c>
      <c r="D449" s="360">
        <v>26306</v>
      </c>
      <c r="E449" s="360">
        <v>26306</v>
      </c>
      <c r="F449" s="360">
        <v>26280</v>
      </c>
      <c r="G449" s="360">
        <v>26329</v>
      </c>
      <c r="H449" s="360">
        <v>26195</v>
      </c>
    </row>
    <row r="450" spans="1:8" x14ac:dyDescent="0.2">
      <c r="A450" s="359" t="s">
        <v>1243</v>
      </c>
      <c r="B450" s="359"/>
      <c r="C450" s="359" t="s">
        <v>1244</v>
      </c>
      <c r="D450" s="360">
        <v>51079</v>
      </c>
      <c r="E450" s="360">
        <v>51079</v>
      </c>
      <c r="F450" s="360">
        <v>51010</v>
      </c>
      <c r="G450" s="360">
        <v>51662</v>
      </c>
      <c r="H450" s="360">
        <v>51871</v>
      </c>
    </row>
    <row r="451" spans="1:8" x14ac:dyDescent="0.2">
      <c r="A451" s="359" t="s">
        <v>1245</v>
      </c>
      <c r="B451" s="359"/>
      <c r="C451" s="359" t="s">
        <v>1246</v>
      </c>
      <c r="D451" s="360">
        <v>22150</v>
      </c>
      <c r="E451" s="360">
        <v>22150</v>
      </c>
      <c r="F451" s="360">
        <v>22082</v>
      </c>
      <c r="G451" s="360">
        <v>21922</v>
      </c>
      <c r="H451" s="360">
        <v>21922</v>
      </c>
    </row>
    <row r="452" spans="1:8" x14ac:dyDescent="0.2">
      <c r="A452" s="359" t="s">
        <v>1247</v>
      </c>
      <c r="B452" s="359"/>
      <c r="C452" s="359" t="s">
        <v>1248</v>
      </c>
      <c r="D452" s="360">
        <v>89513</v>
      </c>
      <c r="E452" s="360">
        <v>89513</v>
      </c>
      <c r="F452" s="360">
        <v>89610</v>
      </c>
      <c r="G452" s="360">
        <v>91354</v>
      </c>
      <c r="H452" s="360">
        <v>92614</v>
      </c>
    </row>
    <row r="453" spans="1:8" x14ac:dyDescent="0.2">
      <c r="A453" s="359" t="s">
        <v>1249</v>
      </c>
      <c r="B453" s="359"/>
      <c r="C453" s="359" t="s">
        <v>1250</v>
      </c>
      <c r="D453" s="360">
        <v>43450</v>
      </c>
      <c r="E453" s="360">
        <v>43450</v>
      </c>
      <c r="F453" s="360">
        <v>43366</v>
      </c>
      <c r="G453" s="360">
        <v>43205</v>
      </c>
      <c r="H453" s="360">
        <v>43127</v>
      </c>
    </row>
    <row r="454" spans="1:8" x14ac:dyDescent="0.2">
      <c r="A454" s="359" t="s">
        <v>1251</v>
      </c>
      <c r="B454" s="359"/>
      <c r="C454" s="359" t="s">
        <v>1252</v>
      </c>
      <c r="D454" s="360">
        <v>91067</v>
      </c>
      <c r="E454" s="360">
        <v>91067</v>
      </c>
      <c r="F454" s="360">
        <v>91252</v>
      </c>
      <c r="G454" s="360">
        <v>91008</v>
      </c>
      <c r="H454" s="360">
        <v>91239</v>
      </c>
    </row>
    <row r="455" spans="1:8" x14ac:dyDescent="0.2">
      <c r="A455" s="359" t="s">
        <v>1253</v>
      </c>
      <c r="B455" s="359"/>
      <c r="C455" s="359" t="s">
        <v>1254</v>
      </c>
      <c r="D455" s="360">
        <v>83877</v>
      </c>
      <c r="E455" s="360">
        <v>83877</v>
      </c>
      <c r="F455" s="360">
        <v>83956</v>
      </c>
      <c r="G455" s="360">
        <v>84505</v>
      </c>
      <c r="H455" s="360">
        <v>84524</v>
      </c>
    </row>
    <row r="456" spans="1:8" x14ac:dyDescent="0.2">
      <c r="A456" s="359" t="s">
        <v>1255</v>
      </c>
      <c r="B456" s="359"/>
      <c r="C456" s="359" t="s">
        <v>1256</v>
      </c>
      <c r="D456" s="360">
        <v>27994</v>
      </c>
      <c r="E456" s="360">
        <v>27994</v>
      </c>
      <c r="F456" s="360">
        <v>28037</v>
      </c>
      <c r="G456" s="360">
        <v>27864</v>
      </c>
      <c r="H456" s="360">
        <v>28044</v>
      </c>
    </row>
    <row r="457" spans="1:8" x14ac:dyDescent="0.2">
      <c r="A457" s="359" t="s">
        <v>1257</v>
      </c>
      <c r="B457" s="359"/>
      <c r="C457" s="359" t="s">
        <v>1258</v>
      </c>
      <c r="D457" s="360">
        <v>33718</v>
      </c>
      <c r="E457" s="360">
        <v>33708</v>
      </c>
      <c r="F457" s="360">
        <v>33738</v>
      </c>
      <c r="G457" s="360">
        <v>33983</v>
      </c>
      <c r="H457" s="360">
        <v>34093</v>
      </c>
    </row>
    <row r="458" spans="1:8" x14ac:dyDescent="0.2">
      <c r="A458" s="359" t="s">
        <v>1259</v>
      </c>
      <c r="B458" s="359"/>
      <c r="C458" s="359" t="s">
        <v>1260</v>
      </c>
      <c r="D458" s="360">
        <v>33090</v>
      </c>
      <c r="E458" s="360">
        <v>33090</v>
      </c>
      <c r="F458" s="360">
        <v>33064</v>
      </c>
      <c r="G458" s="360">
        <v>32815</v>
      </c>
      <c r="H458" s="360">
        <v>32849</v>
      </c>
    </row>
    <row r="459" spans="1:8" x14ac:dyDescent="0.2">
      <c r="A459" s="359" t="s">
        <v>1261</v>
      </c>
      <c r="B459" s="359"/>
      <c r="C459" s="359" t="s">
        <v>1262</v>
      </c>
      <c r="D459" s="360">
        <v>34869</v>
      </c>
      <c r="E459" s="360">
        <v>34869</v>
      </c>
      <c r="F459" s="360">
        <v>34851</v>
      </c>
      <c r="G459" s="360">
        <v>34897</v>
      </c>
      <c r="H459" s="360">
        <v>34900</v>
      </c>
    </row>
    <row r="460" spans="1:8" x14ac:dyDescent="0.2">
      <c r="A460" s="359" t="s">
        <v>1263</v>
      </c>
      <c r="B460" s="359"/>
      <c r="C460" s="359" t="s">
        <v>1264</v>
      </c>
      <c r="D460" s="360">
        <v>22364</v>
      </c>
      <c r="E460" s="360">
        <v>22364</v>
      </c>
      <c r="F460" s="360">
        <v>22364</v>
      </c>
      <c r="G460" s="360">
        <v>22462</v>
      </c>
      <c r="H460" s="360">
        <v>22248</v>
      </c>
    </row>
    <row r="461" spans="1:8" x14ac:dyDescent="0.2">
      <c r="A461" s="359" t="s">
        <v>1265</v>
      </c>
      <c r="B461" s="359"/>
      <c r="C461" s="359" t="s">
        <v>1266</v>
      </c>
      <c r="D461" s="360">
        <v>31965</v>
      </c>
      <c r="E461" s="360">
        <v>31965</v>
      </c>
      <c r="F461" s="360">
        <v>32026</v>
      </c>
      <c r="G461" s="360">
        <v>32120</v>
      </c>
      <c r="H461" s="360">
        <v>32629</v>
      </c>
    </row>
    <row r="462" spans="1:8" x14ac:dyDescent="0.2">
      <c r="A462" s="359" t="s">
        <v>1267</v>
      </c>
      <c r="B462" s="359"/>
      <c r="C462" s="359" t="s">
        <v>1268</v>
      </c>
      <c r="D462" s="360">
        <v>38106</v>
      </c>
      <c r="E462" s="360">
        <v>38106</v>
      </c>
      <c r="F462" s="360">
        <v>38116</v>
      </c>
      <c r="G462" s="360">
        <v>38013</v>
      </c>
      <c r="H462" s="360">
        <v>37825</v>
      </c>
    </row>
    <row r="463" spans="1:8" x14ac:dyDescent="0.2">
      <c r="A463" s="359" t="s">
        <v>1269</v>
      </c>
      <c r="B463" s="359"/>
      <c r="C463" s="359" t="s">
        <v>1270</v>
      </c>
      <c r="D463" s="360">
        <v>43784</v>
      </c>
      <c r="E463" s="360">
        <v>43784</v>
      </c>
      <c r="F463" s="360">
        <v>43757</v>
      </c>
      <c r="G463" s="360">
        <v>43297</v>
      </c>
      <c r="H463" s="360">
        <v>42849</v>
      </c>
    </row>
    <row r="464" spans="1:8" x14ac:dyDescent="0.2">
      <c r="A464" s="359" t="s">
        <v>1271</v>
      </c>
      <c r="B464" s="359"/>
      <c r="C464" s="359" t="s">
        <v>1272</v>
      </c>
      <c r="D464" s="360">
        <v>43021</v>
      </c>
      <c r="E464" s="360">
        <v>43021</v>
      </c>
      <c r="F464" s="360">
        <v>43159</v>
      </c>
      <c r="G464" s="360">
        <v>43277</v>
      </c>
      <c r="H464" s="360">
        <v>43286</v>
      </c>
    </row>
    <row r="465" spans="1:8" x14ac:dyDescent="0.2">
      <c r="A465" s="359" t="s">
        <v>1273</v>
      </c>
      <c r="B465" s="359"/>
      <c r="C465" s="359" t="s">
        <v>1274</v>
      </c>
      <c r="D465" s="360">
        <v>47656</v>
      </c>
      <c r="E465" s="360">
        <v>47656</v>
      </c>
      <c r="F465" s="360">
        <v>47592</v>
      </c>
      <c r="G465" s="360">
        <v>47325</v>
      </c>
      <c r="H465" s="360">
        <v>47383</v>
      </c>
    </row>
    <row r="466" spans="1:8" x14ac:dyDescent="0.2">
      <c r="A466" s="359" t="s">
        <v>1275</v>
      </c>
      <c r="B466" s="359"/>
      <c r="C466" s="359" t="s">
        <v>1276</v>
      </c>
      <c r="D466" s="360">
        <v>34200</v>
      </c>
      <c r="E466" s="360">
        <v>34200</v>
      </c>
      <c r="F466" s="360">
        <v>34237</v>
      </c>
      <c r="G466" s="360">
        <v>34362</v>
      </c>
      <c r="H466" s="360">
        <v>34403</v>
      </c>
    </row>
    <row r="467" spans="1:8" x14ac:dyDescent="0.2">
      <c r="A467" s="359" t="s">
        <v>1277</v>
      </c>
      <c r="B467" s="359"/>
      <c r="C467" s="359" t="s">
        <v>1278</v>
      </c>
      <c r="D467" s="360">
        <v>47584</v>
      </c>
      <c r="E467" s="360">
        <v>47584</v>
      </c>
      <c r="F467" s="360">
        <v>47588</v>
      </c>
      <c r="G467" s="360">
        <v>47622</v>
      </c>
      <c r="H467" s="360">
        <v>47639</v>
      </c>
    </row>
    <row r="468" spans="1:8" x14ac:dyDescent="0.2">
      <c r="A468" s="359" t="s">
        <v>1279</v>
      </c>
      <c r="B468" s="359"/>
      <c r="C468" s="359" t="s">
        <v>1280</v>
      </c>
      <c r="D468" s="360">
        <v>55186</v>
      </c>
      <c r="E468" s="360">
        <v>55186</v>
      </c>
      <c r="F468" s="360">
        <v>55196</v>
      </c>
      <c r="G468" s="360">
        <v>55487</v>
      </c>
      <c r="H468" s="360">
        <v>55766</v>
      </c>
    </row>
    <row r="469" spans="1:8" x14ac:dyDescent="0.2">
      <c r="A469" s="359" t="s">
        <v>1281</v>
      </c>
      <c r="B469" s="359"/>
      <c r="C469" s="359" t="s">
        <v>1282</v>
      </c>
      <c r="D469" s="360">
        <v>32618</v>
      </c>
      <c r="E469" s="360">
        <v>32618</v>
      </c>
      <c r="F469" s="360">
        <v>32660</v>
      </c>
      <c r="G469" s="360">
        <v>32703</v>
      </c>
      <c r="H469" s="360">
        <v>32551</v>
      </c>
    </row>
    <row r="470" spans="1:8" x14ac:dyDescent="0.2">
      <c r="A470" s="359" t="s">
        <v>1283</v>
      </c>
      <c r="B470" s="359"/>
      <c r="C470" s="359" t="s">
        <v>1284</v>
      </c>
      <c r="D470" s="360">
        <v>40087</v>
      </c>
      <c r="E470" s="360">
        <v>40087</v>
      </c>
      <c r="F470" s="360">
        <v>40032</v>
      </c>
      <c r="G470" s="360">
        <v>39841</v>
      </c>
      <c r="H470" s="360">
        <v>39817</v>
      </c>
    </row>
    <row r="471" spans="1:8" x14ac:dyDescent="0.2">
      <c r="A471" s="359" t="s">
        <v>1285</v>
      </c>
      <c r="B471" s="359"/>
      <c r="C471" s="359" t="s">
        <v>1286</v>
      </c>
      <c r="D471" s="360">
        <v>31488</v>
      </c>
      <c r="E471" s="360">
        <v>31489</v>
      </c>
      <c r="F471" s="360">
        <v>31437</v>
      </c>
      <c r="G471" s="360">
        <v>31020</v>
      </c>
      <c r="H471" s="360">
        <v>30703</v>
      </c>
    </row>
    <row r="472" spans="1:8" x14ac:dyDescent="0.2">
      <c r="A472" s="359" t="s">
        <v>1287</v>
      </c>
      <c r="B472" s="359"/>
      <c r="C472" s="359" t="s">
        <v>1288</v>
      </c>
      <c r="D472" s="360">
        <v>24512</v>
      </c>
      <c r="E472" s="360">
        <v>24512</v>
      </c>
      <c r="F472" s="360">
        <v>24563</v>
      </c>
      <c r="G472" s="360">
        <v>24691</v>
      </c>
      <c r="H472" s="360">
        <v>24691</v>
      </c>
    </row>
    <row r="473" spans="1:8" x14ac:dyDescent="0.2">
      <c r="A473" s="359" t="s">
        <v>1289</v>
      </c>
      <c r="B473" s="359"/>
      <c r="C473" s="359" t="s">
        <v>1290</v>
      </c>
      <c r="D473" s="360">
        <v>46824</v>
      </c>
      <c r="E473" s="360">
        <v>46824</v>
      </c>
      <c r="F473" s="360">
        <v>46859</v>
      </c>
      <c r="G473" s="360">
        <v>47345</v>
      </c>
      <c r="H473" s="360">
        <v>46788</v>
      </c>
    </row>
    <row r="474" spans="1:8" x14ac:dyDescent="0.2">
      <c r="A474" s="359" t="s">
        <v>1291</v>
      </c>
      <c r="B474" s="359"/>
      <c r="C474" s="359" t="s">
        <v>1292</v>
      </c>
      <c r="D474" s="360">
        <v>37069</v>
      </c>
      <c r="E474" s="360">
        <v>37069</v>
      </c>
      <c r="F474" s="360">
        <v>37043</v>
      </c>
      <c r="G474" s="360">
        <v>36935</v>
      </c>
      <c r="H474" s="360">
        <v>36651</v>
      </c>
    </row>
    <row r="475" spans="1:8" x14ac:dyDescent="0.2">
      <c r="A475" s="359" t="s">
        <v>1293</v>
      </c>
      <c r="B475" s="359"/>
      <c r="C475" s="359" t="s">
        <v>1294</v>
      </c>
      <c r="D475" s="360">
        <v>53829</v>
      </c>
      <c r="E475" s="360">
        <v>53829</v>
      </c>
      <c r="F475" s="360">
        <v>53902</v>
      </c>
      <c r="G475" s="360">
        <v>53999</v>
      </c>
      <c r="H475" s="360">
        <v>54419</v>
      </c>
    </row>
    <row r="476" spans="1:8" x14ac:dyDescent="0.2">
      <c r="A476" s="359" t="s">
        <v>1295</v>
      </c>
      <c r="B476" s="359"/>
      <c r="C476" s="359" t="s">
        <v>1296</v>
      </c>
      <c r="D476" s="360">
        <v>46163</v>
      </c>
      <c r="E476" s="360">
        <v>46163</v>
      </c>
      <c r="F476" s="360">
        <v>46278</v>
      </c>
      <c r="G476" s="360">
        <v>46651</v>
      </c>
      <c r="H476" s="360">
        <v>46750</v>
      </c>
    </row>
    <row r="477" spans="1:8" x14ac:dyDescent="0.2">
      <c r="A477" s="359" t="s">
        <v>1297</v>
      </c>
      <c r="B477" s="359"/>
      <c r="C477" s="359" t="s">
        <v>1298</v>
      </c>
      <c r="D477" s="360">
        <v>41475</v>
      </c>
      <c r="E477" s="360">
        <v>41475</v>
      </c>
      <c r="F477" s="360">
        <v>41522</v>
      </c>
      <c r="G477" s="360">
        <v>41247</v>
      </c>
      <c r="H477" s="360">
        <v>41188</v>
      </c>
    </row>
    <row r="478" spans="1:8" x14ac:dyDescent="0.2">
      <c r="A478" s="359" t="s">
        <v>1299</v>
      </c>
      <c r="B478" s="359"/>
      <c r="C478" s="359" t="s">
        <v>1300</v>
      </c>
      <c r="D478" s="360">
        <v>40814</v>
      </c>
      <c r="E478" s="360">
        <v>40814</v>
      </c>
      <c r="F478" s="360">
        <v>40780</v>
      </c>
      <c r="G478" s="360">
        <v>40799</v>
      </c>
      <c r="H478" s="360">
        <v>40875</v>
      </c>
    </row>
    <row r="479" spans="1:8" x14ac:dyDescent="0.2">
      <c r="A479" s="359" t="s">
        <v>1301</v>
      </c>
      <c r="B479" s="359"/>
      <c r="C479" s="359" t="s">
        <v>1302</v>
      </c>
      <c r="D479" s="360">
        <v>39437</v>
      </c>
      <c r="E479" s="360">
        <v>39437</v>
      </c>
      <c r="F479" s="360">
        <v>39434</v>
      </c>
      <c r="G479" s="360">
        <v>39008</v>
      </c>
      <c r="H479" s="360">
        <v>38894</v>
      </c>
    </row>
    <row r="480" spans="1:8" x14ac:dyDescent="0.2">
      <c r="A480" s="359" t="s">
        <v>1303</v>
      </c>
      <c r="B480" s="359"/>
      <c r="C480" s="359" t="s">
        <v>1304</v>
      </c>
      <c r="D480" s="360">
        <v>75455</v>
      </c>
      <c r="E480" s="360">
        <v>75455</v>
      </c>
      <c r="F480" s="360">
        <v>75497</v>
      </c>
      <c r="G480" s="360">
        <v>75664</v>
      </c>
      <c r="H480" s="360">
        <v>75621</v>
      </c>
    </row>
    <row r="481" spans="1:8" x14ac:dyDescent="0.2">
      <c r="A481" s="359" t="s">
        <v>1305</v>
      </c>
      <c r="B481" s="359"/>
      <c r="C481" s="359" t="s">
        <v>1306</v>
      </c>
      <c r="D481" s="360">
        <v>64921</v>
      </c>
      <c r="E481" s="360">
        <v>64921</v>
      </c>
      <c r="F481" s="360">
        <v>64964</v>
      </c>
      <c r="G481" s="360">
        <v>64837</v>
      </c>
      <c r="H481" s="360">
        <v>64623</v>
      </c>
    </row>
    <row r="482" spans="1:8" x14ac:dyDescent="0.2">
      <c r="A482" s="359" t="s">
        <v>1307</v>
      </c>
      <c r="B482" s="359"/>
      <c r="C482" s="359" t="s">
        <v>1308</v>
      </c>
      <c r="D482" s="360">
        <v>78064</v>
      </c>
      <c r="E482" s="360">
        <v>78064</v>
      </c>
      <c r="F482" s="360">
        <v>78093</v>
      </c>
      <c r="G482" s="360">
        <v>77647</v>
      </c>
      <c r="H482" s="360">
        <v>77429</v>
      </c>
    </row>
    <row r="483" spans="1:8" x14ac:dyDescent="0.2">
      <c r="A483" s="359" t="s">
        <v>1309</v>
      </c>
      <c r="B483" s="359"/>
      <c r="C483" s="359" t="s">
        <v>1310</v>
      </c>
      <c r="D483" s="360">
        <v>218466</v>
      </c>
      <c r="E483" s="360">
        <v>218466</v>
      </c>
      <c r="F483" s="360">
        <v>218436</v>
      </c>
      <c r="G483" s="360">
        <v>217983</v>
      </c>
      <c r="H483" s="360">
        <v>217390</v>
      </c>
    </row>
    <row r="484" spans="1:8" x14ac:dyDescent="0.2">
      <c r="A484" s="359" t="s">
        <v>1311</v>
      </c>
      <c r="B484" s="359"/>
      <c r="C484" s="359" t="s">
        <v>1312</v>
      </c>
      <c r="D484" s="360">
        <v>94196</v>
      </c>
      <c r="E484" s="360">
        <v>94196</v>
      </c>
      <c r="F484" s="360">
        <v>94304</v>
      </c>
      <c r="G484" s="360">
        <v>94437</v>
      </c>
      <c r="H484" s="360">
        <v>94310</v>
      </c>
    </row>
    <row r="485" spans="1:8" x14ac:dyDescent="0.2">
      <c r="A485" s="359" t="s">
        <v>1313</v>
      </c>
      <c r="B485" s="359"/>
      <c r="C485" s="359" t="s">
        <v>1314</v>
      </c>
      <c r="D485" s="360">
        <v>26151</v>
      </c>
      <c r="E485" s="360">
        <v>26151</v>
      </c>
      <c r="F485" s="360">
        <v>26125</v>
      </c>
      <c r="G485" s="360">
        <v>25853</v>
      </c>
      <c r="H485" s="360">
        <v>25709</v>
      </c>
    </row>
    <row r="486" spans="1:8" x14ac:dyDescent="0.2">
      <c r="A486" s="359" t="s">
        <v>1315</v>
      </c>
      <c r="B486" s="359"/>
      <c r="C486" s="359" t="s">
        <v>1316</v>
      </c>
      <c r="D486" s="360">
        <v>64665</v>
      </c>
      <c r="E486" s="360">
        <v>64665</v>
      </c>
      <c r="F486" s="360">
        <v>64748</v>
      </c>
      <c r="G486" s="360">
        <v>64262</v>
      </c>
      <c r="H486" s="360">
        <v>63983</v>
      </c>
    </row>
    <row r="487" spans="1:8" x14ac:dyDescent="0.2">
      <c r="A487" s="359" t="s">
        <v>1317</v>
      </c>
      <c r="B487" s="359"/>
      <c r="C487" s="359" t="s">
        <v>1318</v>
      </c>
      <c r="D487" s="360">
        <v>34145</v>
      </c>
      <c r="E487" s="360">
        <v>34147</v>
      </c>
      <c r="F487" s="360">
        <v>34061</v>
      </c>
      <c r="G487" s="360">
        <v>33748</v>
      </c>
      <c r="H487" s="360">
        <v>33904</v>
      </c>
    </row>
    <row r="488" spans="1:8" x14ac:dyDescent="0.2">
      <c r="A488" s="359" t="s">
        <v>1319</v>
      </c>
      <c r="B488" s="359"/>
      <c r="C488" s="359" t="s">
        <v>1320</v>
      </c>
      <c r="D488" s="360">
        <v>39140</v>
      </c>
      <c r="E488" s="360">
        <v>39140</v>
      </c>
      <c r="F488" s="360">
        <v>39017</v>
      </c>
      <c r="G488" s="360">
        <v>38696</v>
      </c>
      <c r="H488" s="360">
        <v>37447</v>
      </c>
    </row>
    <row r="489" spans="1:8" x14ac:dyDescent="0.2">
      <c r="A489" s="359" t="s">
        <v>1321</v>
      </c>
      <c r="B489" s="359"/>
      <c r="C489" s="359" t="s">
        <v>1322</v>
      </c>
      <c r="D489" s="360">
        <v>49116</v>
      </c>
      <c r="E489" s="360">
        <v>49116</v>
      </c>
      <c r="F489" s="360">
        <v>49118</v>
      </c>
      <c r="G489" s="360">
        <v>49086</v>
      </c>
      <c r="H489" s="360">
        <v>48717</v>
      </c>
    </row>
    <row r="490" spans="1:8" x14ac:dyDescent="0.2">
      <c r="A490" s="359" t="s">
        <v>1323</v>
      </c>
      <c r="B490" s="359"/>
      <c r="C490" s="359" t="s">
        <v>1324</v>
      </c>
      <c r="D490" s="360">
        <v>48376</v>
      </c>
      <c r="E490" s="360">
        <v>48376</v>
      </c>
      <c r="F490" s="360">
        <v>48928</v>
      </c>
      <c r="G490" s="360">
        <v>49574</v>
      </c>
      <c r="H490" s="360">
        <v>49938</v>
      </c>
    </row>
    <row r="491" spans="1:8" x14ac:dyDescent="0.2">
      <c r="A491" s="359" t="s">
        <v>1325</v>
      </c>
      <c r="B491" s="359"/>
      <c r="C491" s="359" t="s">
        <v>1326</v>
      </c>
      <c r="D491" s="360">
        <v>35471</v>
      </c>
      <c r="E491" s="360">
        <v>35471</v>
      </c>
      <c r="F491" s="360">
        <v>35408</v>
      </c>
      <c r="G491" s="360">
        <v>34839</v>
      </c>
      <c r="H491" s="360">
        <v>34459</v>
      </c>
    </row>
    <row r="492" spans="1:8" x14ac:dyDescent="0.2">
      <c r="A492" s="359" t="s">
        <v>1327</v>
      </c>
      <c r="B492" s="359"/>
      <c r="C492" s="359" t="s">
        <v>1328</v>
      </c>
      <c r="D492" s="360">
        <v>45248</v>
      </c>
      <c r="E492" s="360">
        <v>45248</v>
      </c>
      <c r="F492" s="360">
        <v>45147</v>
      </c>
      <c r="G492" s="360">
        <v>43902</v>
      </c>
      <c r="H492" s="360">
        <v>43868</v>
      </c>
    </row>
    <row r="493" spans="1:8" x14ac:dyDescent="0.2">
      <c r="A493" s="359" t="s">
        <v>1329</v>
      </c>
      <c r="B493" s="359"/>
      <c r="C493" s="359" t="s">
        <v>1330</v>
      </c>
      <c r="D493" s="360">
        <v>59779</v>
      </c>
      <c r="E493" s="360">
        <v>59779</v>
      </c>
      <c r="F493" s="360">
        <v>59815</v>
      </c>
      <c r="G493" s="360">
        <v>59611</v>
      </c>
      <c r="H493" s="360">
        <v>59670</v>
      </c>
    </row>
    <row r="494" spans="1:8" x14ac:dyDescent="0.2">
      <c r="A494" s="359" t="s">
        <v>1331</v>
      </c>
      <c r="B494" s="359"/>
      <c r="C494" s="359" t="s">
        <v>1332</v>
      </c>
      <c r="D494" s="360">
        <v>32237</v>
      </c>
      <c r="E494" s="360">
        <v>32237</v>
      </c>
      <c r="F494" s="360">
        <v>32269</v>
      </c>
      <c r="G494" s="360">
        <v>32482</v>
      </c>
      <c r="H494" s="360">
        <v>32681</v>
      </c>
    </row>
    <row r="495" spans="1:8" x14ac:dyDescent="0.2">
      <c r="A495" s="359" t="s">
        <v>1333</v>
      </c>
      <c r="B495" s="359"/>
      <c r="C495" s="359" t="s">
        <v>1334</v>
      </c>
      <c r="D495" s="360">
        <v>146445</v>
      </c>
      <c r="E495" s="360">
        <v>146445</v>
      </c>
      <c r="F495" s="360">
        <v>146443</v>
      </c>
      <c r="G495" s="360">
        <v>146614</v>
      </c>
      <c r="H495" s="360">
        <v>146761</v>
      </c>
    </row>
    <row r="496" spans="1:8" x14ac:dyDescent="0.2">
      <c r="A496" s="359" t="s">
        <v>1335</v>
      </c>
      <c r="B496" s="359"/>
      <c r="C496" s="359" t="s">
        <v>1336</v>
      </c>
      <c r="D496" s="360">
        <v>24277</v>
      </c>
      <c r="E496" s="360">
        <v>24277</v>
      </c>
      <c r="F496" s="360">
        <v>24284</v>
      </c>
      <c r="G496" s="360">
        <v>24156</v>
      </c>
      <c r="H496" s="360">
        <v>24029</v>
      </c>
    </row>
    <row r="497" spans="1:8" x14ac:dyDescent="0.2">
      <c r="A497" s="359" t="s">
        <v>1337</v>
      </c>
      <c r="B497" s="359"/>
      <c r="C497" s="359" t="s">
        <v>1338</v>
      </c>
      <c r="D497" s="360">
        <v>106042</v>
      </c>
      <c r="E497" s="360">
        <v>106049</v>
      </c>
      <c r="F497" s="360">
        <v>106284</v>
      </c>
      <c r="G497" s="360">
        <v>106381</v>
      </c>
      <c r="H497" s="360">
        <v>106860</v>
      </c>
    </row>
    <row r="498" spans="1:8" x14ac:dyDescent="0.2">
      <c r="A498" s="359" t="s">
        <v>1339</v>
      </c>
      <c r="B498" s="359"/>
      <c r="C498" s="359" t="s">
        <v>1340</v>
      </c>
      <c r="D498" s="360">
        <v>63043</v>
      </c>
      <c r="E498" s="360">
        <v>63043</v>
      </c>
      <c r="F498" s="360">
        <v>63053</v>
      </c>
      <c r="G498" s="360">
        <v>62795</v>
      </c>
      <c r="H498" s="360">
        <v>62534</v>
      </c>
    </row>
    <row r="499" spans="1:8" x14ac:dyDescent="0.2">
      <c r="A499" s="359" t="s">
        <v>1341</v>
      </c>
      <c r="B499" s="359"/>
      <c r="C499" s="359" t="s">
        <v>1342</v>
      </c>
      <c r="D499" s="360">
        <v>23439</v>
      </c>
      <c r="E499" s="360">
        <v>23439</v>
      </c>
      <c r="F499" s="360">
        <v>23380</v>
      </c>
      <c r="G499" s="360">
        <v>23692</v>
      </c>
      <c r="H499" s="360">
        <v>23606</v>
      </c>
    </row>
    <row r="500" spans="1:8" x14ac:dyDescent="0.2">
      <c r="A500" s="359" t="s">
        <v>1343</v>
      </c>
      <c r="B500" s="359"/>
      <c r="C500" s="359" t="s">
        <v>1344</v>
      </c>
      <c r="D500" s="360">
        <v>37057</v>
      </c>
      <c r="E500" s="360">
        <v>37057</v>
      </c>
      <c r="F500" s="360">
        <v>37078</v>
      </c>
      <c r="G500" s="360">
        <v>37230</v>
      </c>
      <c r="H500" s="360">
        <v>37164</v>
      </c>
    </row>
    <row r="501" spans="1:8" x14ac:dyDescent="0.2">
      <c r="A501" s="359" t="s">
        <v>1345</v>
      </c>
      <c r="B501" s="359"/>
      <c r="C501" s="359" t="s">
        <v>1346</v>
      </c>
      <c r="D501" s="360">
        <v>43041</v>
      </c>
      <c r="E501" s="360">
        <v>43041</v>
      </c>
      <c r="F501" s="360">
        <v>43092</v>
      </c>
      <c r="G501" s="360">
        <v>43081</v>
      </c>
      <c r="H501" s="360">
        <v>43520</v>
      </c>
    </row>
    <row r="502" spans="1:8" x14ac:dyDescent="0.2">
      <c r="A502" s="359" t="s">
        <v>1347</v>
      </c>
      <c r="B502" s="359"/>
      <c r="C502" s="359" t="s">
        <v>1348</v>
      </c>
      <c r="D502" s="360">
        <v>98990</v>
      </c>
      <c r="E502" s="360">
        <v>98989</v>
      </c>
      <c r="F502" s="360">
        <v>98936</v>
      </c>
      <c r="G502" s="360">
        <v>99287</v>
      </c>
      <c r="H502" s="360">
        <v>99063</v>
      </c>
    </row>
    <row r="503" spans="1:8" x14ac:dyDescent="0.2">
      <c r="A503" s="359" t="s">
        <v>1349</v>
      </c>
      <c r="B503" s="359"/>
      <c r="C503" s="359" t="s">
        <v>1350</v>
      </c>
      <c r="D503" s="360">
        <v>47735</v>
      </c>
      <c r="E503" s="360">
        <v>47735</v>
      </c>
      <c r="F503" s="360">
        <v>47761</v>
      </c>
      <c r="G503" s="360">
        <v>47963</v>
      </c>
      <c r="H503" s="360">
        <v>47979</v>
      </c>
    </row>
    <row r="504" spans="1:8" x14ac:dyDescent="0.2">
      <c r="A504" s="359" t="s">
        <v>1351</v>
      </c>
      <c r="B504" s="359"/>
      <c r="C504" s="359" t="s">
        <v>1352</v>
      </c>
      <c r="D504" s="360">
        <v>49336</v>
      </c>
      <c r="E504" s="360">
        <v>49336</v>
      </c>
      <c r="F504" s="360">
        <v>49275</v>
      </c>
      <c r="G504" s="360">
        <v>49619</v>
      </c>
      <c r="H504" s="360">
        <v>49474</v>
      </c>
    </row>
    <row r="505" spans="1:8" x14ac:dyDescent="0.2">
      <c r="A505" s="359" t="s">
        <v>1353</v>
      </c>
      <c r="B505" s="359"/>
      <c r="C505" s="359" t="s">
        <v>1354</v>
      </c>
      <c r="D505" s="360">
        <v>36901</v>
      </c>
      <c r="E505" s="360">
        <v>36901</v>
      </c>
      <c r="F505" s="360">
        <v>36897</v>
      </c>
      <c r="G505" s="360">
        <v>36893</v>
      </c>
      <c r="H505" s="360">
        <v>36779</v>
      </c>
    </row>
    <row r="506" spans="1:8" x14ac:dyDescent="0.2">
      <c r="A506" s="359" t="s">
        <v>1355</v>
      </c>
      <c r="B506" s="359"/>
      <c r="C506" s="359" t="s">
        <v>1356</v>
      </c>
      <c r="D506" s="360">
        <v>13795</v>
      </c>
      <c r="E506" s="360">
        <v>13795</v>
      </c>
      <c r="F506" s="360">
        <v>13810</v>
      </c>
      <c r="G506" s="360">
        <v>13410</v>
      </c>
      <c r="H506" s="360">
        <v>13200</v>
      </c>
    </row>
    <row r="507" spans="1:8" x14ac:dyDescent="0.2">
      <c r="A507" s="359" t="s">
        <v>1357</v>
      </c>
      <c r="B507" s="359"/>
      <c r="C507" s="359" t="s">
        <v>1358</v>
      </c>
      <c r="D507" s="360">
        <v>38124</v>
      </c>
      <c r="E507" s="360">
        <v>38124</v>
      </c>
      <c r="F507" s="360">
        <v>38068</v>
      </c>
      <c r="G507" s="360">
        <v>38331</v>
      </c>
      <c r="H507" s="360">
        <v>38254</v>
      </c>
    </row>
    <row r="508" spans="1:8" x14ac:dyDescent="0.2">
      <c r="A508" s="359" t="s">
        <v>1359</v>
      </c>
      <c r="B508" s="359"/>
      <c r="C508" s="359" t="s">
        <v>1360</v>
      </c>
      <c r="D508" s="360">
        <v>28610</v>
      </c>
      <c r="E508" s="360">
        <v>28610</v>
      </c>
      <c r="F508" s="360">
        <v>28583</v>
      </c>
      <c r="G508" s="360">
        <v>28513</v>
      </c>
      <c r="H508" s="360">
        <v>28290</v>
      </c>
    </row>
    <row r="509" spans="1:8" x14ac:dyDescent="0.2">
      <c r="A509" s="359" t="s">
        <v>1361</v>
      </c>
      <c r="B509" s="359"/>
      <c r="C509" s="359" t="s">
        <v>1362</v>
      </c>
      <c r="D509" s="360">
        <v>56053</v>
      </c>
      <c r="E509" s="360">
        <v>56053</v>
      </c>
      <c r="F509" s="360">
        <v>56217</v>
      </c>
      <c r="G509" s="360">
        <v>56618</v>
      </c>
      <c r="H509" s="360">
        <v>57029</v>
      </c>
    </row>
    <row r="510" spans="1:8" x14ac:dyDescent="0.2">
      <c r="A510" s="359" t="s">
        <v>1363</v>
      </c>
      <c r="B510" s="359"/>
      <c r="C510" s="359" t="s">
        <v>1364</v>
      </c>
      <c r="D510" s="360">
        <v>80406</v>
      </c>
      <c r="E510" s="360">
        <v>80406</v>
      </c>
      <c r="F510" s="360">
        <v>80471</v>
      </c>
      <c r="G510" s="360">
        <v>80479</v>
      </c>
      <c r="H510" s="360">
        <v>80440</v>
      </c>
    </row>
    <row r="511" spans="1:8" x14ac:dyDescent="0.2">
      <c r="A511" s="359" t="s">
        <v>1365</v>
      </c>
      <c r="B511" s="359"/>
      <c r="C511" s="359" t="s">
        <v>1366</v>
      </c>
      <c r="D511" s="360">
        <v>40271</v>
      </c>
      <c r="E511" s="360">
        <v>40271</v>
      </c>
      <c r="F511" s="360">
        <v>40345</v>
      </c>
      <c r="G511" s="360">
        <v>40283</v>
      </c>
      <c r="H511" s="360">
        <v>40448</v>
      </c>
    </row>
    <row r="512" spans="1:8" x14ac:dyDescent="0.2">
      <c r="A512" s="359" t="s">
        <v>1367</v>
      </c>
      <c r="B512" s="359"/>
      <c r="C512" s="359" t="s">
        <v>1368</v>
      </c>
      <c r="D512" s="360">
        <v>53174</v>
      </c>
      <c r="E512" s="360">
        <v>53174</v>
      </c>
      <c r="F512" s="360">
        <v>53201</v>
      </c>
      <c r="G512" s="360">
        <v>53237</v>
      </c>
      <c r="H512" s="360">
        <v>53119</v>
      </c>
    </row>
    <row r="513" spans="1:8" x14ac:dyDescent="0.2">
      <c r="A513" s="359" t="s">
        <v>1369</v>
      </c>
      <c r="B513" s="359"/>
      <c r="C513" s="359" t="s">
        <v>1370</v>
      </c>
      <c r="D513" s="360">
        <v>106561</v>
      </c>
      <c r="E513" s="360">
        <v>106561</v>
      </c>
      <c r="F513" s="360">
        <v>106546</v>
      </c>
      <c r="G513" s="360">
        <v>106047</v>
      </c>
      <c r="H513" s="360">
        <v>105803</v>
      </c>
    </row>
    <row r="514" spans="1:8" x14ac:dyDescent="0.2">
      <c r="A514" s="359" t="s">
        <v>1371</v>
      </c>
      <c r="B514" s="359"/>
      <c r="C514" s="359" t="s">
        <v>1372</v>
      </c>
      <c r="D514" s="360">
        <v>31809</v>
      </c>
      <c r="E514" s="360">
        <v>31809</v>
      </c>
      <c r="F514" s="360">
        <v>31852</v>
      </c>
      <c r="G514" s="360">
        <v>31961</v>
      </c>
      <c r="H514" s="360">
        <v>32247</v>
      </c>
    </row>
    <row r="515" spans="1:8" x14ac:dyDescent="0.2">
      <c r="A515" s="359" t="s">
        <v>1373</v>
      </c>
      <c r="B515" s="359"/>
      <c r="C515" s="359" t="s">
        <v>1374</v>
      </c>
      <c r="D515" s="360">
        <v>34387</v>
      </c>
      <c r="E515" s="360">
        <v>34387</v>
      </c>
      <c r="F515" s="360">
        <v>34424</v>
      </c>
      <c r="G515" s="360">
        <v>34360</v>
      </c>
      <c r="H515" s="360">
        <v>34365</v>
      </c>
    </row>
    <row r="516" spans="1:8" x14ac:dyDescent="0.2">
      <c r="A516" s="359" t="s">
        <v>1375</v>
      </c>
      <c r="B516" s="359"/>
      <c r="C516" s="359" t="s">
        <v>1376</v>
      </c>
      <c r="D516" s="360">
        <v>39037</v>
      </c>
      <c r="E516" s="360">
        <v>39035</v>
      </c>
      <c r="F516" s="360">
        <v>39005</v>
      </c>
      <c r="G516" s="360">
        <v>38885</v>
      </c>
      <c r="H516" s="360">
        <v>38677</v>
      </c>
    </row>
    <row r="517" spans="1:8" x14ac:dyDescent="0.2">
      <c r="A517" s="359" t="s">
        <v>1377</v>
      </c>
      <c r="B517" s="359"/>
      <c r="C517" s="359" t="s">
        <v>1378</v>
      </c>
      <c r="D517" s="360">
        <v>48879</v>
      </c>
      <c r="E517" s="360">
        <v>48879</v>
      </c>
      <c r="F517" s="360">
        <v>48983</v>
      </c>
      <c r="G517" s="360">
        <v>48855</v>
      </c>
      <c r="H517" s="360">
        <v>48705</v>
      </c>
    </row>
    <row r="518" spans="1:8" x14ac:dyDescent="0.2">
      <c r="A518" s="359" t="s">
        <v>1379</v>
      </c>
      <c r="B518" s="359"/>
      <c r="C518" s="359" t="s">
        <v>1380</v>
      </c>
      <c r="D518" s="360">
        <v>25095</v>
      </c>
      <c r="E518" s="360">
        <v>25095</v>
      </c>
      <c r="F518" s="360">
        <v>25115</v>
      </c>
      <c r="G518" s="360">
        <v>25162</v>
      </c>
      <c r="H518" s="360">
        <v>25041</v>
      </c>
    </row>
    <row r="519" spans="1:8" x14ac:dyDescent="0.2">
      <c r="A519" s="359" t="s">
        <v>1381</v>
      </c>
      <c r="B519" s="359"/>
      <c r="C519" s="359" t="s">
        <v>1382</v>
      </c>
      <c r="D519" s="360">
        <v>35654</v>
      </c>
      <c r="E519" s="360">
        <v>35654</v>
      </c>
      <c r="F519" s="360">
        <v>35860</v>
      </c>
      <c r="G519" s="360">
        <v>36133</v>
      </c>
      <c r="H519" s="360">
        <v>36281</v>
      </c>
    </row>
    <row r="520" spans="1:8" x14ac:dyDescent="0.2">
      <c r="A520" s="359" t="s">
        <v>1383</v>
      </c>
      <c r="B520" s="359"/>
      <c r="C520" s="359" t="s">
        <v>1384</v>
      </c>
      <c r="D520" s="360">
        <v>24199</v>
      </c>
      <c r="E520" s="360">
        <v>24199</v>
      </c>
      <c r="F520" s="360">
        <v>24333</v>
      </c>
      <c r="G520" s="360">
        <v>25147</v>
      </c>
      <c r="H520" s="360">
        <v>26771</v>
      </c>
    </row>
    <row r="521" spans="1:8" x14ac:dyDescent="0.2">
      <c r="A521" s="359" t="s">
        <v>1385</v>
      </c>
      <c r="B521" s="359"/>
      <c r="C521" s="359" t="s">
        <v>1386</v>
      </c>
      <c r="D521" s="360">
        <v>36031</v>
      </c>
      <c r="E521" s="360">
        <v>36031</v>
      </c>
      <c r="F521" s="360">
        <v>35931</v>
      </c>
      <c r="G521" s="360">
        <v>35460</v>
      </c>
      <c r="H521" s="360">
        <v>35037</v>
      </c>
    </row>
    <row r="522" spans="1:8" x14ac:dyDescent="0.2">
      <c r="A522" s="359" t="s">
        <v>1387</v>
      </c>
      <c r="B522" s="359"/>
      <c r="C522" s="359" t="s">
        <v>1388</v>
      </c>
      <c r="D522" s="360">
        <v>33848</v>
      </c>
      <c r="E522" s="360">
        <v>33848</v>
      </c>
      <c r="F522" s="360">
        <v>34062</v>
      </c>
      <c r="G522" s="360">
        <v>34464</v>
      </c>
      <c r="H522" s="360">
        <v>34752</v>
      </c>
    </row>
    <row r="523" spans="1:8" x14ac:dyDescent="0.2">
      <c r="A523" s="359" t="s">
        <v>1389</v>
      </c>
      <c r="B523" s="359"/>
      <c r="C523" s="359" t="s">
        <v>1390</v>
      </c>
      <c r="D523" s="360">
        <v>42356</v>
      </c>
      <c r="E523" s="360">
        <v>42356</v>
      </c>
      <c r="F523" s="360">
        <v>42756</v>
      </c>
      <c r="G523" s="360">
        <v>43002</v>
      </c>
      <c r="H523" s="360">
        <v>43170</v>
      </c>
    </row>
    <row r="524" spans="1:8" x14ac:dyDescent="0.2">
      <c r="A524" s="359" t="s">
        <v>1391</v>
      </c>
      <c r="B524" s="359"/>
      <c r="C524" s="359" t="s">
        <v>1392</v>
      </c>
      <c r="D524" s="360">
        <v>58414</v>
      </c>
      <c r="E524" s="360">
        <v>58414</v>
      </c>
      <c r="F524" s="360">
        <v>58393</v>
      </c>
      <c r="G524" s="360">
        <v>57986</v>
      </c>
      <c r="H524" s="360">
        <v>57938</v>
      </c>
    </row>
    <row r="525" spans="1:8" x14ac:dyDescent="0.2">
      <c r="A525" s="359" t="s">
        <v>1393</v>
      </c>
      <c r="B525" s="359"/>
      <c r="C525" s="359" t="s">
        <v>1394</v>
      </c>
      <c r="D525" s="360">
        <v>81642</v>
      </c>
      <c r="E525" s="360">
        <v>81647</v>
      </c>
      <c r="F525" s="360">
        <v>81579</v>
      </c>
      <c r="G525" s="360">
        <v>81504</v>
      </c>
      <c r="H525" s="360">
        <v>81184</v>
      </c>
    </row>
    <row r="526" spans="1:8" x14ac:dyDescent="0.2">
      <c r="A526" s="359" t="s">
        <v>1395</v>
      </c>
      <c r="B526" s="359"/>
      <c r="C526" s="359" t="s">
        <v>1396</v>
      </c>
      <c r="D526" s="360">
        <v>21904</v>
      </c>
      <c r="E526" s="360">
        <v>21904</v>
      </c>
      <c r="F526" s="360">
        <v>21977</v>
      </c>
      <c r="G526" s="360">
        <v>22041</v>
      </c>
      <c r="H526" s="360">
        <v>22313</v>
      </c>
    </row>
    <row r="527" spans="1:8" x14ac:dyDescent="0.2">
      <c r="A527" s="359" t="s">
        <v>1397</v>
      </c>
      <c r="B527" s="359"/>
      <c r="C527" s="359" t="s">
        <v>1398</v>
      </c>
      <c r="D527" s="360">
        <v>45048</v>
      </c>
      <c r="E527" s="360">
        <v>45048</v>
      </c>
      <c r="F527" s="360">
        <v>45097</v>
      </c>
      <c r="G527" s="360">
        <v>45057</v>
      </c>
      <c r="H527" s="360">
        <v>44779</v>
      </c>
    </row>
    <row r="528" spans="1:8" x14ac:dyDescent="0.2">
      <c r="A528" s="359" t="s">
        <v>1399</v>
      </c>
      <c r="B528" s="359"/>
      <c r="C528" s="359" t="s">
        <v>1400</v>
      </c>
      <c r="D528" s="360">
        <v>114678</v>
      </c>
      <c r="E528" s="360">
        <v>114678</v>
      </c>
      <c r="F528" s="360">
        <v>115755</v>
      </c>
      <c r="G528" s="360">
        <v>119285</v>
      </c>
      <c r="H528" s="360">
        <v>122135</v>
      </c>
    </row>
    <row r="529" spans="1:8" x14ac:dyDescent="0.2">
      <c r="A529" s="359" t="s">
        <v>1401</v>
      </c>
      <c r="B529" s="359"/>
      <c r="C529" s="359" t="s">
        <v>1402</v>
      </c>
      <c r="D529" s="360">
        <v>51334</v>
      </c>
      <c r="E529" s="360">
        <v>51334</v>
      </c>
      <c r="F529" s="360">
        <v>51495</v>
      </c>
      <c r="G529" s="360">
        <v>51924</v>
      </c>
      <c r="H529" s="360">
        <v>52401</v>
      </c>
    </row>
    <row r="530" spans="1:8" x14ac:dyDescent="0.2">
      <c r="A530" s="359" t="s">
        <v>1403</v>
      </c>
      <c r="B530" s="359"/>
      <c r="C530" s="359" t="s">
        <v>1404</v>
      </c>
      <c r="D530" s="360">
        <v>42416</v>
      </c>
      <c r="E530" s="360">
        <v>42416</v>
      </c>
      <c r="F530" s="360">
        <v>42644</v>
      </c>
      <c r="G530" s="360">
        <v>43117</v>
      </c>
      <c r="H530" s="360">
        <v>43399</v>
      </c>
    </row>
    <row r="531" spans="1:8" x14ac:dyDescent="0.2">
      <c r="A531" s="359" t="s">
        <v>1405</v>
      </c>
      <c r="B531" s="359"/>
      <c r="C531" s="359" t="s">
        <v>1406</v>
      </c>
      <c r="D531" s="360">
        <v>38335</v>
      </c>
      <c r="E531" s="360">
        <v>38337</v>
      </c>
      <c r="F531" s="360">
        <v>38321</v>
      </c>
      <c r="G531" s="360">
        <v>38190</v>
      </c>
      <c r="H531" s="360">
        <v>38255</v>
      </c>
    </row>
    <row r="532" spans="1:8" x14ac:dyDescent="0.2">
      <c r="A532" s="359" t="s">
        <v>1407</v>
      </c>
      <c r="B532" s="359"/>
      <c r="C532" s="359" t="s">
        <v>1408</v>
      </c>
      <c r="D532" s="360">
        <v>54258</v>
      </c>
      <c r="E532" s="360">
        <v>54258</v>
      </c>
      <c r="F532" s="360">
        <v>54462</v>
      </c>
      <c r="G532" s="360">
        <v>55082</v>
      </c>
      <c r="H532" s="360">
        <v>55365</v>
      </c>
    </row>
    <row r="533" spans="1:8" x14ac:dyDescent="0.2">
      <c r="A533" s="359" t="s">
        <v>1409</v>
      </c>
      <c r="B533" s="359"/>
      <c r="C533" s="359" t="s">
        <v>1410</v>
      </c>
      <c r="D533" s="360">
        <v>37782</v>
      </c>
      <c r="E533" s="360">
        <v>37782</v>
      </c>
      <c r="F533" s="360">
        <v>37856</v>
      </c>
      <c r="G533" s="360">
        <v>37974</v>
      </c>
      <c r="H533" s="360">
        <v>38098</v>
      </c>
    </row>
    <row r="534" spans="1:8" x14ac:dyDescent="0.2">
      <c r="A534" s="359" t="s">
        <v>1411</v>
      </c>
      <c r="B534" s="359"/>
      <c r="C534" s="359" t="s">
        <v>1412</v>
      </c>
      <c r="D534" s="360">
        <v>52197</v>
      </c>
      <c r="E534" s="360">
        <v>52197</v>
      </c>
      <c r="F534" s="360">
        <v>52076</v>
      </c>
      <c r="G534" s="360">
        <v>51738</v>
      </c>
      <c r="H534" s="360">
        <v>51874</v>
      </c>
    </row>
    <row r="535" spans="1:8" x14ac:dyDescent="0.2">
      <c r="A535" s="359" t="s">
        <v>1413</v>
      </c>
      <c r="B535" s="359"/>
      <c r="C535" s="359" t="s">
        <v>1414</v>
      </c>
      <c r="D535" s="360">
        <v>34242</v>
      </c>
      <c r="E535" s="360">
        <v>34242</v>
      </c>
      <c r="F535" s="360">
        <v>34212</v>
      </c>
      <c r="G535" s="360">
        <v>34275</v>
      </c>
      <c r="H535" s="360">
        <v>34353</v>
      </c>
    </row>
    <row r="536" spans="1:8" x14ac:dyDescent="0.2">
      <c r="A536" s="359" t="s">
        <v>1415</v>
      </c>
      <c r="B536" s="359"/>
      <c r="C536" s="359" t="s">
        <v>1416</v>
      </c>
      <c r="D536" s="360">
        <v>41280</v>
      </c>
      <c r="E536" s="360">
        <v>41280</v>
      </c>
      <c r="F536" s="360">
        <v>41327</v>
      </c>
      <c r="G536" s="360">
        <v>41264</v>
      </c>
      <c r="H536" s="360">
        <v>41285</v>
      </c>
    </row>
    <row r="537" spans="1:8" x14ac:dyDescent="0.2">
      <c r="A537" s="359" t="s">
        <v>1417</v>
      </c>
      <c r="B537" s="359"/>
      <c r="C537" s="359" t="s">
        <v>1418</v>
      </c>
      <c r="D537" s="360">
        <v>41639</v>
      </c>
      <c r="E537" s="360">
        <v>41639</v>
      </c>
      <c r="F537" s="360">
        <v>41569</v>
      </c>
      <c r="G537" s="360">
        <v>41369</v>
      </c>
      <c r="H537" s="360">
        <v>40867</v>
      </c>
    </row>
    <row r="538" spans="1:8" x14ac:dyDescent="0.2">
      <c r="A538" s="359" t="s">
        <v>1419</v>
      </c>
      <c r="B538" s="359"/>
      <c r="C538" s="359" t="s">
        <v>1420</v>
      </c>
      <c r="D538" s="360">
        <v>64094</v>
      </c>
      <c r="E538" s="360">
        <v>64094</v>
      </c>
      <c r="F538" s="360">
        <v>64178</v>
      </c>
      <c r="G538" s="360">
        <v>63866</v>
      </c>
      <c r="H538" s="360">
        <v>64244</v>
      </c>
    </row>
    <row r="539" spans="1:8" x14ac:dyDescent="0.2">
      <c r="A539" s="359" t="s">
        <v>1421</v>
      </c>
      <c r="B539" s="359"/>
      <c r="C539" s="359" t="s">
        <v>1422</v>
      </c>
      <c r="D539" s="360">
        <v>22119</v>
      </c>
      <c r="E539" s="360">
        <v>22119</v>
      </c>
      <c r="F539" s="360">
        <v>22032</v>
      </c>
      <c r="G539" s="360">
        <v>22297</v>
      </c>
      <c r="H539" s="360">
        <v>23081</v>
      </c>
    </row>
    <row r="540" spans="1:8" x14ac:dyDescent="0.2">
      <c r="A540" s="359" t="s">
        <v>1423</v>
      </c>
      <c r="B540" s="359"/>
      <c r="C540" s="359" t="s">
        <v>1424</v>
      </c>
      <c r="D540" s="360">
        <v>29405</v>
      </c>
      <c r="E540" s="360">
        <v>29405</v>
      </c>
      <c r="F540" s="360">
        <v>29380</v>
      </c>
      <c r="G540" s="360">
        <v>29426</v>
      </c>
      <c r="H540" s="360">
        <v>29384</v>
      </c>
    </row>
    <row r="541" spans="1:8" x14ac:dyDescent="0.2">
      <c r="A541" s="359" t="s">
        <v>1425</v>
      </c>
      <c r="B541" s="359"/>
      <c r="C541" s="359" t="s">
        <v>1426</v>
      </c>
      <c r="D541" s="360">
        <v>50805</v>
      </c>
      <c r="E541" s="360">
        <v>50805</v>
      </c>
      <c r="F541" s="360">
        <v>50921</v>
      </c>
      <c r="G541" s="360">
        <v>51430</v>
      </c>
      <c r="H541" s="360">
        <v>53217</v>
      </c>
    </row>
    <row r="542" spans="1:8" x14ac:dyDescent="0.2">
      <c r="A542" s="359" t="s">
        <v>1427</v>
      </c>
      <c r="B542" s="359"/>
      <c r="C542" s="359" t="s">
        <v>1428</v>
      </c>
      <c r="D542" s="360">
        <v>40915</v>
      </c>
      <c r="E542" s="360">
        <v>40915</v>
      </c>
      <c r="F542" s="360">
        <v>41028</v>
      </c>
      <c r="G542" s="360">
        <v>41591</v>
      </c>
      <c r="H542" s="360">
        <v>41672</v>
      </c>
    </row>
    <row r="543" spans="1:8" x14ac:dyDescent="0.2">
      <c r="A543" s="359" t="s">
        <v>1429</v>
      </c>
      <c r="B543" s="359"/>
      <c r="C543" s="359" t="s">
        <v>1430</v>
      </c>
      <c r="D543" s="360">
        <v>33690</v>
      </c>
      <c r="E543" s="360">
        <v>33690</v>
      </c>
      <c r="F543" s="360">
        <v>33640</v>
      </c>
      <c r="G543" s="360">
        <v>33760</v>
      </c>
      <c r="H543" s="360">
        <v>33748</v>
      </c>
    </row>
    <row r="544" spans="1:8" x14ac:dyDescent="0.2">
      <c r="A544" s="359" t="s">
        <v>1431</v>
      </c>
      <c r="B544" s="359"/>
      <c r="C544" s="359" t="s">
        <v>1432</v>
      </c>
      <c r="D544" s="360">
        <v>60580</v>
      </c>
      <c r="E544" s="360">
        <v>60580</v>
      </c>
      <c r="F544" s="360">
        <v>60764</v>
      </c>
      <c r="G544" s="360">
        <v>60575</v>
      </c>
      <c r="H544" s="360">
        <v>61189</v>
      </c>
    </row>
    <row r="545" spans="1:8" x14ac:dyDescent="0.2">
      <c r="A545" s="359" t="s">
        <v>1433</v>
      </c>
      <c r="B545" s="359"/>
      <c r="C545" s="359" t="s">
        <v>1434</v>
      </c>
      <c r="D545" s="360">
        <v>49948</v>
      </c>
      <c r="E545" s="360">
        <v>49948</v>
      </c>
      <c r="F545" s="360">
        <v>50135</v>
      </c>
      <c r="G545" s="360">
        <v>50485</v>
      </c>
      <c r="H545" s="360">
        <v>51252</v>
      </c>
    </row>
    <row r="546" spans="1:8" x14ac:dyDescent="0.2">
      <c r="A546" s="359" t="s">
        <v>1435</v>
      </c>
      <c r="B546" s="359"/>
      <c r="C546" s="359" t="s">
        <v>1436</v>
      </c>
      <c r="D546" s="360">
        <v>37069</v>
      </c>
      <c r="E546" s="360">
        <v>37069</v>
      </c>
      <c r="F546" s="360">
        <v>37068</v>
      </c>
      <c r="G546" s="360">
        <v>36955</v>
      </c>
      <c r="H546" s="360">
        <v>36884</v>
      </c>
    </row>
    <row r="547" spans="1:8" x14ac:dyDescent="0.2">
      <c r="A547" s="359" t="s">
        <v>1437</v>
      </c>
      <c r="B547" s="359"/>
      <c r="C547" s="359" t="s">
        <v>1438</v>
      </c>
      <c r="D547" s="360">
        <v>40246</v>
      </c>
      <c r="E547" s="360">
        <v>40247</v>
      </c>
      <c r="F547" s="360">
        <v>40305</v>
      </c>
      <c r="G547" s="360">
        <v>40353</v>
      </c>
      <c r="H547" s="360">
        <v>40318</v>
      </c>
    </row>
    <row r="548" spans="1:8" x14ac:dyDescent="0.2">
      <c r="A548" s="359" t="s">
        <v>1439</v>
      </c>
      <c r="B548" s="359"/>
      <c r="C548" s="359" t="s">
        <v>1440</v>
      </c>
      <c r="D548" s="360">
        <v>134623</v>
      </c>
      <c r="E548" s="360">
        <v>134623</v>
      </c>
      <c r="F548" s="360">
        <v>135039</v>
      </c>
      <c r="G548" s="360">
        <v>135318</v>
      </c>
      <c r="H548" s="360">
        <v>134827</v>
      </c>
    </row>
    <row r="549" spans="1:8" x14ac:dyDescent="0.2">
      <c r="A549" s="359" t="s">
        <v>1441</v>
      </c>
      <c r="B549" s="359"/>
      <c r="C549" s="359" t="s">
        <v>1442</v>
      </c>
      <c r="D549" s="360">
        <v>21118</v>
      </c>
      <c r="E549" s="360">
        <v>21118</v>
      </c>
      <c r="F549" s="360">
        <v>21101</v>
      </c>
      <c r="G549" s="360">
        <v>20919</v>
      </c>
      <c r="H549" s="360">
        <v>21025</v>
      </c>
    </row>
    <row r="550" spans="1:8" x14ac:dyDescent="0.2">
      <c r="A550" s="359" t="s">
        <v>1443</v>
      </c>
      <c r="B550" s="359"/>
      <c r="C550" s="359" t="s">
        <v>1444</v>
      </c>
      <c r="D550" s="360">
        <v>16843</v>
      </c>
      <c r="E550" s="360">
        <v>16843</v>
      </c>
      <c r="F550" s="360">
        <v>16804</v>
      </c>
      <c r="G550" s="360">
        <v>16893</v>
      </c>
      <c r="H550" s="360">
        <v>16867</v>
      </c>
    </row>
    <row r="551" spans="1:8" x14ac:dyDescent="0.2">
      <c r="A551" s="359" t="s">
        <v>1445</v>
      </c>
      <c r="B551" s="359"/>
      <c r="C551" s="359" t="s">
        <v>1446</v>
      </c>
      <c r="D551" s="360">
        <v>56418</v>
      </c>
      <c r="E551" s="360">
        <v>56418</v>
      </c>
      <c r="F551" s="360">
        <v>56499</v>
      </c>
      <c r="G551" s="360">
        <v>56555</v>
      </c>
      <c r="H551" s="360">
        <v>56678</v>
      </c>
    </row>
    <row r="552" spans="1:8" x14ac:dyDescent="0.2">
      <c r="A552" s="359" t="s">
        <v>1447</v>
      </c>
      <c r="B552" s="359"/>
      <c r="C552" s="359" t="s">
        <v>1448</v>
      </c>
      <c r="D552" s="360">
        <v>24877</v>
      </c>
      <c r="E552" s="360">
        <v>24877</v>
      </c>
      <c r="F552" s="360">
        <v>24794</v>
      </c>
      <c r="G552" s="360">
        <v>24611</v>
      </c>
      <c r="H552" s="360">
        <v>24375</v>
      </c>
    </row>
    <row r="553" spans="1:8" x14ac:dyDescent="0.2">
      <c r="A553" s="359" t="s">
        <v>1449</v>
      </c>
      <c r="B553" s="359"/>
      <c r="C553" s="359" t="s">
        <v>1450</v>
      </c>
      <c r="D553" s="360">
        <v>64142</v>
      </c>
      <c r="E553" s="360">
        <v>64142</v>
      </c>
      <c r="F553" s="360">
        <v>64237</v>
      </c>
      <c r="G553" s="360">
        <v>64844</v>
      </c>
      <c r="H553" s="360">
        <v>64854</v>
      </c>
    </row>
    <row r="554" spans="1:8" x14ac:dyDescent="0.2">
      <c r="A554" s="359" t="s">
        <v>1451</v>
      </c>
      <c r="B554" s="359"/>
      <c r="C554" s="359" t="s">
        <v>1452</v>
      </c>
      <c r="D554" s="360">
        <v>65359</v>
      </c>
      <c r="E554" s="360">
        <v>65364</v>
      </c>
      <c r="F554" s="360">
        <v>65563</v>
      </c>
      <c r="G554" s="360">
        <v>65607</v>
      </c>
      <c r="H554" s="360">
        <v>65917</v>
      </c>
    </row>
    <row r="555" spans="1:8" x14ac:dyDescent="0.2">
      <c r="A555" s="359" t="s">
        <v>1453</v>
      </c>
      <c r="B555" s="359"/>
      <c r="C555" s="359" t="s">
        <v>1454</v>
      </c>
      <c r="D555" s="360">
        <v>57303</v>
      </c>
      <c r="E555" s="360">
        <v>57303</v>
      </c>
      <c r="F555" s="360">
        <v>57276</v>
      </c>
      <c r="G555" s="360">
        <v>57319</v>
      </c>
      <c r="H555" s="360">
        <v>57288</v>
      </c>
    </row>
    <row r="556" spans="1:8" x14ac:dyDescent="0.2">
      <c r="A556" s="359" t="s">
        <v>1455</v>
      </c>
      <c r="B556" s="359"/>
      <c r="C556" s="359" t="s">
        <v>1456</v>
      </c>
      <c r="D556" s="360">
        <v>51980</v>
      </c>
      <c r="E556" s="360">
        <v>51980</v>
      </c>
      <c r="F556" s="360">
        <v>52104</v>
      </c>
      <c r="G556" s="360">
        <v>51579</v>
      </c>
      <c r="H556" s="360">
        <v>51327</v>
      </c>
    </row>
    <row r="557" spans="1:8" x14ac:dyDescent="0.2">
      <c r="A557" s="359" t="s">
        <v>1457</v>
      </c>
      <c r="B557" s="359"/>
      <c r="C557" s="359" t="s">
        <v>1458</v>
      </c>
      <c r="D557" s="360">
        <v>74782</v>
      </c>
      <c r="E557" s="360">
        <v>74782</v>
      </c>
      <c r="F557" s="360">
        <v>74687</v>
      </c>
      <c r="G557" s="360">
        <v>75111</v>
      </c>
      <c r="H557" s="360">
        <v>75671</v>
      </c>
    </row>
    <row r="558" spans="1:8" x14ac:dyDescent="0.2">
      <c r="A558" s="359" t="s">
        <v>1459</v>
      </c>
      <c r="B558" s="359"/>
      <c r="C558" s="359" t="s">
        <v>1460</v>
      </c>
      <c r="D558" s="360">
        <v>17634</v>
      </c>
      <c r="E558" s="360">
        <v>17634</v>
      </c>
      <c r="F558" s="360">
        <v>17659</v>
      </c>
      <c r="G558" s="360">
        <v>17605</v>
      </c>
      <c r="H558" s="360">
        <v>17538</v>
      </c>
    </row>
    <row r="559" spans="1:8" x14ac:dyDescent="0.2">
      <c r="A559" s="359" t="s">
        <v>1461</v>
      </c>
      <c r="B559" s="359"/>
      <c r="C559" s="359" t="s">
        <v>1462</v>
      </c>
      <c r="D559" s="360">
        <v>67810</v>
      </c>
      <c r="E559" s="360">
        <v>67809</v>
      </c>
      <c r="F559" s="360">
        <v>67775</v>
      </c>
      <c r="G559" s="360">
        <v>67425</v>
      </c>
      <c r="H559" s="360">
        <v>67323</v>
      </c>
    </row>
    <row r="560" spans="1:8" x14ac:dyDescent="0.2">
      <c r="A560" s="359" t="s">
        <v>1463</v>
      </c>
      <c r="B560" s="359"/>
      <c r="C560" s="359" t="s">
        <v>1464</v>
      </c>
      <c r="D560" s="360">
        <v>28258</v>
      </c>
      <c r="E560" s="360">
        <v>28258</v>
      </c>
      <c r="F560" s="360">
        <v>28178</v>
      </c>
      <c r="G560" s="360">
        <v>27961</v>
      </c>
      <c r="H560" s="360">
        <v>27858</v>
      </c>
    </row>
    <row r="561" spans="1:8" x14ac:dyDescent="0.2">
      <c r="A561" s="359" t="s">
        <v>1465</v>
      </c>
      <c r="B561" s="359"/>
      <c r="C561" s="359" t="s">
        <v>1466</v>
      </c>
      <c r="D561" s="360">
        <v>38013</v>
      </c>
      <c r="E561" s="360">
        <v>38013</v>
      </c>
      <c r="F561" s="360">
        <v>37876</v>
      </c>
      <c r="G561" s="360">
        <v>37738</v>
      </c>
      <c r="H561" s="360">
        <v>37273</v>
      </c>
    </row>
    <row r="562" spans="1:8" x14ac:dyDescent="0.2">
      <c r="A562" s="359" t="s">
        <v>1467</v>
      </c>
      <c r="B562" s="359"/>
      <c r="C562" s="359" t="s">
        <v>1468</v>
      </c>
      <c r="D562" s="360">
        <v>52274</v>
      </c>
      <c r="E562" s="360">
        <v>52277</v>
      </c>
      <c r="F562" s="360">
        <v>52827</v>
      </c>
      <c r="G562" s="360">
        <v>53082</v>
      </c>
      <c r="H562" s="360">
        <v>53259</v>
      </c>
    </row>
    <row r="563" spans="1:8" x14ac:dyDescent="0.2">
      <c r="A563" s="359" t="s">
        <v>1469</v>
      </c>
      <c r="B563" s="359"/>
      <c r="C563" s="359" t="s">
        <v>1470</v>
      </c>
      <c r="D563" s="360">
        <v>62105</v>
      </c>
      <c r="E563" s="360">
        <v>62105</v>
      </c>
      <c r="F563" s="360">
        <v>62053</v>
      </c>
      <c r="G563" s="360">
        <v>61671</v>
      </c>
      <c r="H563" s="360">
        <v>61477</v>
      </c>
    </row>
    <row r="564" spans="1:8" x14ac:dyDescent="0.2">
      <c r="A564" s="359" t="s">
        <v>1471</v>
      </c>
      <c r="B564" s="359"/>
      <c r="C564" s="359" t="s">
        <v>1472</v>
      </c>
      <c r="D564" s="360">
        <v>28159</v>
      </c>
      <c r="E564" s="360">
        <v>28159</v>
      </c>
      <c r="F564" s="360">
        <v>28165</v>
      </c>
      <c r="G564" s="360">
        <v>28562</v>
      </c>
      <c r="H564" s="360">
        <v>28472</v>
      </c>
    </row>
    <row r="565" spans="1:8" x14ac:dyDescent="0.2">
      <c r="A565" s="359" t="s">
        <v>1473</v>
      </c>
      <c r="B565" s="359"/>
      <c r="C565" s="359" t="s">
        <v>1474</v>
      </c>
      <c r="D565" s="360">
        <v>52334</v>
      </c>
      <c r="E565" s="360">
        <v>52334</v>
      </c>
      <c r="F565" s="360">
        <v>52754</v>
      </c>
      <c r="G565" s="360">
        <v>52178</v>
      </c>
      <c r="H565" s="360">
        <v>53869</v>
      </c>
    </row>
    <row r="566" spans="1:8" x14ac:dyDescent="0.2">
      <c r="A566" s="359" t="s">
        <v>1475</v>
      </c>
      <c r="B566" s="359"/>
      <c r="C566" s="359" t="s">
        <v>1476</v>
      </c>
      <c r="D566" s="360">
        <v>33224</v>
      </c>
      <c r="E566" s="360">
        <v>33224</v>
      </c>
      <c r="F566" s="360">
        <v>33186</v>
      </c>
      <c r="G566" s="360">
        <v>33056</v>
      </c>
      <c r="H566" s="360">
        <v>33022</v>
      </c>
    </row>
    <row r="567" spans="1:8" x14ac:dyDescent="0.2">
      <c r="A567" s="359" t="s">
        <v>1477</v>
      </c>
      <c r="B567" s="359"/>
      <c r="C567" s="359" t="s">
        <v>1478</v>
      </c>
      <c r="D567" s="360">
        <v>70706</v>
      </c>
      <c r="E567" s="360">
        <v>70706</v>
      </c>
      <c r="F567" s="360">
        <v>70741</v>
      </c>
      <c r="G567" s="360">
        <v>70963</v>
      </c>
      <c r="H567" s="360">
        <v>71532</v>
      </c>
    </row>
    <row r="568" spans="1:8" x14ac:dyDescent="0.2">
      <c r="A568" s="359" t="s">
        <v>1479</v>
      </c>
      <c r="B568" s="359"/>
      <c r="C568" s="359" t="s">
        <v>1480</v>
      </c>
      <c r="D568" s="360">
        <v>24837</v>
      </c>
      <c r="E568" s="360">
        <v>24837</v>
      </c>
      <c r="F568" s="360">
        <v>24878</v>
      </c>
      <c r="G568" s="360">
        <v>25038</v>
      </c>
      <c r="H568" s="360">
        <v>25153</v>
      </c>
    </row>
    <row r="569" spans="1:8" x14ac:dyDescent="0.2">
      <c r="A569" s="359" t="s">
        <v>1481</v>
      </c>
      <c r="B569" s="359"/>
      <c r="C569" s="359" t="s">
        <v>1482</v>
      </c>
      <c r="D569" s="360">
        <v>47711</v>
      </c>
      <c r="E569" s="360">
        <v>47711</v>
      </c>
      <c r="F569" s="360">
        <v>47687</v>
      </c>
      <c r="G569" s="360">
        <v>47418</v>
      </c>
      <c r="H569" s="360">
        <v>46959</v>
      </c>
    </row>
    <row r="570" spans="1:8" x14ac:dyDescent="0.2">
      <c r="A570" s="359" t="s">
        <v>1483</v>
      </c>
      <c r="B570" s="359"/>
      <c r="C570" s="359" t="s">
        <v>1484</v>
      </c>
      <c r="D570" s="360">
        <v>36691</v>
      </c>
      <c r="E570" s="360">
        <v>36691</v>
      </c>
      <c r="F570" s="360">
        <v>36663</v>
      </c>
      <c r="G570" s="360">
        <v>36706</v>
      </c>
      <c r="H570" s="360">
        <v>36427</v>
      </c>
    </row>
    <row r="571" spans="1:8" x14ac:dyDescent="0.2">
      <c r="A571" s="359" t="s">
        <v>1485</v>
      </c>
      <c r="B571" s="359"/>
      <c r="C571" s="359" t="s">
        <v>1486</v>
      </c>
      <c r="D571" s="360">
        <v>60944</v>
      </c>
      <c r="E571" s="360">
        <v>60944</v>
      </c>
      <c r="F571" s="360">
        <v>60873</v>
      </c>
      <c r="G571" s="360">
        <v>60606</v>
      </c>
      <c r="H571" s="360">
        <v>60510</v>
      </c>
    </row>
    <row r="572" spans="1:8" x14ac:dyDescent="0.2">
      <c r="A572" s="359" t="s">
        <v>1487</v>
      </c>
      <c r="B572" s="359"/>
      <c r="C572" s="359" t="s">
        <v>1488</v>
      </c>
      <c r="D572" s="360">
        <v>55342</v>
      </c>
      <c r="E572" s="360">
        <v>55342</v>
      </c>
      <c r="F572" s="360">
        <v>55424</v>
      </c>
      <c r="G572" s="360">
        <v>55539</v>
      </c>
      <c r="H572" s="360">
        <v>55662</v>
      </c>
    </row>
    <row r="573" spans="1:8" x14ac:dyDescent="0.2">
      <c r="A573" s="359" t="s">
        <v>1489</v>
      </c>
      <c r="B573" s="359"/>
      <c r="C573" s="359" t="s">
        <v>1490</v>
      </c>
      <c r="D573" s="360">
        <v>38437</v>
      </c>
      <c r="E573" s="360">
        <v>38437</v>
      </c>
      <c r="F573" s="360">
        <v>38445</v>
      </c>
      <c r="G573" s="360">
        <v>38367</v>
      </c>
      <c r="H573" s="360">
        <v>38688</v>
      </c>
    </row>
    <row r="574" spans="1:8" x14ac:dyDescent="0.2">
      <c r="A574" s="359" t="s">
        <v>1491</v>
      </c>
      <c r="B574" s="359"/>
      <c r="C574" s="359" t="s">
        <v>1492</v>
      </c>
      <c r="D574" s="360">
        <v>52919</v>
      </c>
      <c r="E574" s="360">
        <v>52919</v>
      </c>
      <c r="F574" s="360">
        <v>52914</v>
      </c>
      <c r="G574" s="360">
        <v>52675</v>
      </c>
      <c r="H574" s="360">
        <v>52247</v>
      </c>
    </row>
    <row r="575" spans="1:8" x14ac:dyDescent="0.2">
      <c r="A575" s="359" t="s">
        <v>1493</v>
      </c>
      <c r="B575" s="359"/>
      <c r="C575" s="359" t="s">
        <v>1494</v>
      </c>
      <c r="D575" s="360">
        <v>71492</v>
      </c>
      <c r="E575" s="360">
        <v>71492</v>
      </c>
      <c r="F575" s="360">
        <v>71784</v>
      </c>
      <c r="G575" s="360">
        <v>73622</v>
      </c>
      <c r="H575" s="360">
        <v>73016</v>
      </c>
    </row>
    <row r="576" spans="1:8" x14ac:dyDescent="0.2">
      <c r="A576" s="359" t="s">
        <v>1495</v>
      </c>
      <c r="B576" s="359"/>
      <c r="C576" s="359" t="s">
        <v>1496</v>
      </c>
      <c r="D576" s="360">
        <v>40753</v>
      </c>
      <c r="E576" s="360">
        <v>40753</v>
      </c>
      <c r="F576" s="360">
        <v>40946</v>
      </c>
      <c r="G576" s="360">
        <v>41079</v>
      </c>
      <c r="H576" s="360">
        <v>41168</v>
      </c>
    </row>
    <row r="577" spans="1:8" x14ac:dyDescent="0.2">
      <c r="A577" s="359" t="s">
        <v>1497</v>
      </c>
      <c r="B577" s="359"/>
      <c r="C577" s="359" t="s">
        <v>1498</v>
      </c>
      <c r="D577" s="360">
        <v>46997</v>
      </c>
      <c r="E577" s="360">
        <v>46997</v>
      </c>
      <c r="F577" s="360">
        <v>47032</v>
      </c>
      <c r="G577" s="360">
        <v>47015</v>
      </c>
      <c r="H577" s="360">
        <v>46996</v>
      </c>
    </row>
    <row r="578" spans="1:8" x14ac:dyDescent="0.2">
      <c r="A578" s="359" t="s">
        <v>1499</v>
      </c>
      <c r="B578" s="359"/>
      <c r="C578" s="359" t="s">
        <v>1500</v>
      </c>
      <c r="D578" s="360">
        <v>60158</v>
      </c>
      <c r="E578" s="360">
        <v>60158</v>
      </c>
      <c r="F578" s="360">
        <v>60125</v>
      </c>
      <c r="G578" s="360">
        <v>60120</v>
      </c>
      <c r="H578" s="360">
        <v>60189</v>
      </c>
    </row>
    <row r="579" spans="1:8" x14ac:dyDescent="0.2">
      <c r="A579" s="359" t="s">
        <v>1501</v>
      </c>
      <c r="B579" s="359"/>
      <c r="C579" s="359" t="s">
        <v>1502</v>
      </c>
      <c r="D579" s="360">
        <v>46133</v>
      </c>
      <c r="E579" s="360">
        <v>46133</v>
      </c>
      <c r="F579" s="360">
        <v>46241</v>
      </c>
      <c r="G579" s="360">
        <v>46590</v>
      </c>
      <c r="H579" s="360">
        <v>47874</v>
      </c>
    </row>
    <row r="580" spans="1:8" x14ac:dyDescent="0.2">
      <c r="A580" s="359" t="s">
        <v>1503</v>
      </c>
      <c r="B580" s="359"/>
      <c r="C580" s="359" t="s">
        <v>1504</v>
      </c>
      <c r="D580" s="360">
        <v>52272</v>
      </c>
      <c r="E580" s="360">
        <v>52272</v>
      </c>
      <c r="F580" s="360">
        <v>52257</v>
      </c>
      <c r="G580" s="360">
        <v>52455</v>
      </c>
      <c r="H580" s="360">
        <v>52600</v>
      </c>
    </row>
    <row r="581" spans="1:8" x14ac:dyDescent="0.2">
      <c r="A581" s="359" t="s">
        <v>1505</v>
      </c>
      <c r="B581" s="359"/>
      <c r="C581" s="359" t="s">
        <v>1506</v>
      </c>
      <c r="D581" s="360">
        <v>73537</v>
      </c>
      <c r="E581" s="360">
        <v>73537</v>
      </c>
      <c r="F581" s="360">
        <v>73274</v>
      </c>
      <c r="G581" s="360">
        <v>73161</v>
      </c>
      <c r="H581" s="360">
        <v>74216</v>
      </c>
    </row>
    <row r="582" spans="1:8" x14ac:dyDescent="0.2">
      <c r="A582" s="359" t="s">
        <v>1507</v>
      </c>
      <c r="B582" s="359"/>
      <c r="C582" s="359" t="s">
        <v>1508</v>
      </c>
      <c r="D582" s="360">
        <v>55531</v>
      </c>
      <c r="E582" s="360">
        <v>55531</v>
      </c>
      <c r="F582" s="360">
        <v>55474</v>
      </c>
      <c r="G582" s="360">
        <v>55248</v>
      </c>
      <c r="H582" s="360">
        <v>54925</v>
      </c>
    </row>
    <row r="583" spans="1:8" x14ac:dyDescent="0.2">
      <c r="A583" s="359" t="s">
        <v>1509</v>
      </c>
      <c r="B583" s="359"/>
      <c r="C583" s="359" t="s">
        <v>1510</v>
      </c>
      <c r="D583" s="360">
        <v>27213</v>
      </c>
      <c r="E583" s="360">
        <v>27213</v>
      </c>
      <c r="F583" s="360">
        <v>27278</v>
      </c>
      <c r="G583" s="360">
        <v>27499</v>
      </c>
      <c r="H583" s="360">
        <v>27334</v>
      </c>
    </row>
    <row r="584" spans="1:8" x14ac:dyDescent="0.2">
      <c r="A584" s="359" t="s">
        <v>1511</v>
      </c>
      <c r="B584" s="359"/>
      <c r="C584" s="359" t="s">
        <v>1512</v>
      </c>
      <c r="D584" s="360">
        <v>27674</v>
      </c>
      <c r="E584" s="360">
        <v>27674</v>
      </c>
      <c r="F584" s="360">
        <v>27691</v>
      </c>
      <c r="G584" s="360">
        <v>27690</v>
      </c>
      <c r="H584" s="360">
        <v>27557</v>
      </c>
    </row>
    <row r="585" spans="1:8" x14ac:dyDescent="0.2">
      <c r="A585" s="359" t="s">
        <v>1513</v>
      </c>
      <c r="B585" s="359"/>
      <c r="C585" s="359" t="s">
        <v>1514</v>
      </c>
      <c r="D585" s="360">
        <v>68831</v>
      </c>
      <c r="E585" s="360">
        <v>68831</v>
      </c>
      <c r="F585" s="360">
        <v>68806</v>
      </c>
      <c r="G585" s="360">
        <v>69079</v>
      </c>
      <c r="H585" s="360">
        <v>68819</v>
      </c>
    </row>
    <row r="586" spans="1:8" x14ac:dyDescent="0.2">
      <c r="A586" s="359" t="s">
        <v>1515</v>
      </c>
      <c r="B586" s="359"/>
      <c r="C586" s="359" t="s">
        <v>1516</v>
      </c>
      <c r="D586" s="360">
        <v>71372</v>
      </c>
      <c r="E586" s="360">
        <v>71372</v>
      </c>
      <c r="F586" s="360">
        <v>71298</v>
      </c>
      <c r="G586" s="360">
        <v>71646</v>
      </c>
      <c r="H586" s="360">
        <v>71540</v>
      </c>
    </row>
    <row r="587" spans="1:8" x14ac:dyDescent="0.2">
      <c r="A587" s="359" t="s">
        <v>1517</v>
      </c>
      <c r="B587" s="359"/>
      <c r="C587" s="359" t="s">
        <v>1518</v>
      </c>
      <c r="D587" s="360">
        <v>25740</v>
      </c>
      <c r="E587" s="360">
        <v>25740</v>
      </c>
      <c r="F587" s="360">
        <v>25774</v>
      </c>
      <c r="G587" s="360">
        <v>25851</v>
      </c>
      <c r="H587" s="360">
        <v>26042</v>
      </c>
    </row>
    <row r="588" spans="1:8" x14ac:dyDescent="0.2">
      <c r="A588" s="359" t="s">
        <v>1519</v>
      </c>
      <c r="B588" s="359"/>
      <c r="C588" s="359" t="s">
        <v>1520</v>
      </c>
      <c r="D588" s="360">
        <v>51137</v>
      </c>
      <c r="E588" s="360">
        <v>51135</v>
      </c>
      <c r="F588" s="360">
        <v>51046</v>
      </c>
      <c r="G588" s="360">
        <v>50451</v>
      </c>
      <c r="H588" s="360">
        <v>49750</v>
      </c>
    </row>
    <row r="589" spans="1:8" x14ac:dyDescent="0.2">
      <c r="A589" s="359" t="s">
        <v>1521</v>
      </c>
      <c r="B589" s="359"/>
      <c r="C589" s="359" t="s">
        <v>1522</v>
      </c>
      <c r="D589" s="360">
        <v>52959</v>
      </c>
      <c r="E589" s="360">
        <v>52959</v>
      </c>
      <c r="F589" s="360">
        <v>52973</v>
      </c>
      <c r="G589" s="360">
        <v>52664</v>
      </c>
      <c r="H589" s="360">
        <v>52507</v>
      </c>
    </row>
    <row r="590" spans="1:8" x14ac:dyDescent="0.2">
      <c r="A590" s="359" t="s">
        <v>1523</v>
      </c>
      <c r="B590" s="359"/>
      <c r="C590" s="359" t="s">
        <v>1524</v>
      </c>
      <c r="D590" s="360">
        <v>42914</v>
      </c>
      <c r="E590" s="360">
        <v>42914</v>
      </c>
      <c r="F590" s="360">
        <v>42885</v>
      </c>
      <c r="G590" s="360">
        <v>42356</v>
      </c>
      <c r="H590" s="360">
        <v>41371</v>
      </c>
    </row>
    <row r="591" spans="1:8" x14ac:dyDescent="0.2">
      <c r="A591" s="359" t="s">
        <v>1525</v>
      </c>
      <c r="B591" s="359"/>
      <c r="C591" s="359" t="s">
        <v>1526</v>
      </c>
      <c r="D591" s="360">
        <v>95078</v>
      </c>
      <c r="E591" s="360">
        <v>95082</v>
      </c>
      <c r="F591" s="360">
        <v>95049</v>
      </c>
      <c r="G591" s="360">
        <v>94910</v>
      </c>
      <c r="H591" s="360">
        <v>94857</v>
      </c>
    </row>
    <row r="592" spans="1:8" x14ac:dyDescent="0.2">
      <c r="A592" s="359" t="s">
        <v>1527</v>
      </c>
      <c r="B592" s="359"/>
      <c r="C592" s="359" t="s">
        <v>1528</v>
      </c>
      <c r="D592" s="360">
        <v>21906</v>
      </c>
      <c r="E592" s="360">
        <v>21906</v>
      </c>
      <c r="F592" s="360">
        <v>21869</v>
      </c>
      <c r="G592" s="360">
        <v>21651</v>
      </c>
      <c r="H592" s="360">
        <v>21682</v>
      </c>
    </row>
    <row r="593" spans="1:8" x14ac:dyDescent="0.2">
      <c r="A593" s="359" t="s">
        <v>1529</v>
      </c>
      <c r="B593" s="359"/>
      <c r="C593" s="359" t="s">
        <v>1530</v>
      </c>
      <c r="D593" s="360">
        <v>20640</v>
      </c>
      <c r="E593" s="360">
        <v>20640</v>
      </c>
      <c r="F593" s="360">
        <v>20795</v>
      </c>
      <c r="G593" s="360">
        <v>21138</v>
      </c>
      <c r="H593" s="360">
        <v>21498</v>
      </c>
    </row>
    <row r="594" spans="1:8" x14ac:dyDescent="0.2">
      <c r="A594" s="359" t="s">
        <v>1531</v>
      </c>
      <c r="B594" s="359"/>
      <c r="C594" s="359" t="s">
        <v>1532</v>
      </c>
      <c r="D594" s="360">
        <v>27701</v>
      </c>
      <c r="E594" s="360">
        <v>27701</v>
      </c>
      <c r="F594" s="360">
        <v>27614</v>
      </c>
      <c r="G594" s="360">
        <v>27363</v>
      </c>
      <c r="H594" s="360">
        <v>27500</v>
      </c>
    </row>
    <row r="595" spans="1:8" x14ac:dyDescent="0.2">
      <c r="A595" s="359" t="s">
        <v>1533</v>
      </c>
      <c r="B595" s="359"/>
      <c r="C595" s="359" t="s">
        <v>1534</v>
      </c>
      <c r="D595" s="360">
        <v>38948</v>
      </c>
      <c r="E595" s="360">
        <v>38948</v>
      </c>
      <c r="F595" s="360">
        <v>38959</v>
      </c>
      <c r="G595" s="360">
        <v>39032</v>
      </c>
      <c r="H595" s="360">
        <v>39022</v>
      </c>
    </row>
    <row r="596" spans="1:8" x14ac:dyDescent="0.2">
      <c r="A596" s="359" t="s">
        <v>1535</v>
      </c>
      <c r="B596" s="359"/>
      <c r="C596" s="359" t="s">
        <v>1536</v>
      </c>
      <c r="D596" s="360">
        <v>45233</v>
      </c>
      <c r="E596" s="360">
        <v>45233</v>
      </c>
      <c r="F596" s="360">
        <v>45266</v>
      </c>
      <c r="G596" s="360">
        <v>45359</v>
      </c>
      <c r="H596" s="360">
        <v>45413</v>
      </c>
    </row>
    <row r="597" spans="1:8" x14ac:dyDescent="0.2">
      <c r="A597" s="359" t="s">
        <v>1537</v>
      </c>
      <c r="B597" s="359"/>
      <c r="C597" s="359" t="s">
        <v>1538</v>
      </c>
      <c r="D597" s="360">
        <v>31364</v>
      </c>
      <c r="E597" s="360">
        <v>31364</v>
      </c>
      <c r="F597" s="360">
        <v>31352</v>
      </c>
      <c r="G597" s="360">
        <v>31242</v>
      </c>
      <c r="H597" s="360">
        <v>31459</v>
      </c>
    </row>
    <row r="598" spans="1:8" x14ac:dyDescent="0.2">
      <c r="A598" s="359" t="s">
        <v>1539</v>
      </c>
      <c r="B598" s="359"/>
      <c r="C598" s="359" t="s">
        <v>1540</v>
      </c>
      <c r="D598" s="360">
        <v>28452</v>
      </c>
      <c r="E598" s="360">
        <v>28452</v>
      </c>
      <c r="F598" s="360">
        <v>28449</v>
      </c>
      <c r="G598" s="360">
        <v>28761</v>
      </c>
      <c r="H598" s="360">
        <v>29053</v>
      </c>
    </row>
    <row r="599" spans="1:8" x14ac:dyDescent="0.2">
      <c r="A599" s="359" t="s">
        <v>1541</v>
      </c>
      <c r="B599" s="359"/>
      <c r="C599" s="359" t="s">
        <v>1542</v>
      </c>
      <c r="D599" s="360">
        <v>23530</v>
      </c>
      <c r="E599" s="360">
        <v>23530</v>
      </c>
      <c r="F599" s="360">
        <v>23683</v>
      </c>
      <c r="G599" s="360">
        <v>24342</v>
      </c>
      <c r="H599" s="360">
        <v>25273</v>
      </c>
    </row>
    <row r="600" spans="1:8" x14ac:dyDescent="0.2">
      <c r="A600" s="359" t="s">
        <v>1543</v>
      </c>
      <c r="B600" s="359"/>
      <c r="C600" s="359" t="s">
        <v>1544</v>
      </c>
      <c r="D600" s="360">
        <v>74801</v>
      </c>
      <c r="E600" s="360">
        <v>74801</v>
      </c>
      <c r="F600" s="360">
        <v>75029</v>
      </c>
      <c r="G600" s="360">
        <v>75669</v>
      </c>
      <c r="H600" s="360">
        <v>76277</v>
      </c>
    </row>
    <row r="601" spans="1:8" x14ac:dyDescent="0.2">
      <c r="A601" s="359" t="s">
        <v>1545</v>
      </c>
      <c r="B601" s="359"/>
      <c r="C601" s="359" t="s">
        <v>1546</v>
      </c>
      <c r="D601" s="360">
        <v>21757</v>
      </c>
      <c r="E601" s="360">
        <v>21757</v>
      </c>
      <c r="F601" s="360">
        <v>21674</v>
      </c>
      <c r="G601" s="360">
        <v>21383</v>
      </c>
      <c r="H601" s="360">
        <v>20784</v>
      </c>
    </row>
    <row r="602" spans="1:8" x14ac:dyDescent="0.2">
      <c r="A602" s="359" t="s">
        <v>1547</v>
      </c>
      <c r="B602" s="359"/>
      <c r="C602" s="359" t="s">
        <v>1548</v>
      </c>
      <c r="D602" s="360">
        <v>45422</v>
      </c>
      <c r="E602" s="360">
        <v>45419</v>
      </c>
      <c r="F602" s="360">
        <v>45358</v>
      </c>
      <c r="G602" s="360">
        <v>45223</v>
      </c>
      <c r="H602" s="360">
        <v>45132</v>
      </c>
    </row>
    <row r="603" spans="1:8" x14ac:dyDescent="0.2">
      <c r="A603" s="359" t="s">
        <v>1549</v>
      </c>
      <c r="B603" s="359"/>
      <c r="C603" s="359" t="s">
        <v>1550</v>
      </c>
      <c r="D603" s="360">
        <v>19372</v>
      </c>
      <c r="E603" s="360">
        <v>19372</v>
      </c>
      <c r="F603" s="360">
        <v>19431</v>
      </c>
      <c r="G603" s="360">
        <v>19446</v>
      </c>
      <c r="H603" s="360">
        <v>19360</v>
      </c>
    </row>
    <row r="604" spans="1:8" x14ac:dyDescent="0.2">
      <c r="A604" s="359" t="s">
        <v>1551</v>
      </c>
      <c r="B604" s="359"/>
      <c r="C604" s="359" t="s">
        <v>1552</v>
      </c>
      <c r="D604" s="360">
        <v>87062</v>
      </c>
      <c r="E604" s="360">
        <v>87062</v>
      </c>
      <c r="F604" s="360">
        <v>87256</v>
      </c>
      <c r="G604" s="360">
        <v>87849</v>
      </c>
      <c r="H604" s="360">
        <v>88064</v>
      </c>
    </row>
    <row r="605" spans="1:8" x14ac:dyDescent="0.2">
      <c r="A605" s="359" t="s">
        <v>1553</v>
      </c>
      <c r="B605" s="359"/>
      <c r="C605" s="359" t="s">
        <v>1554</v>
      </c>
      <c r="D605" s="360">
        <v>46688</v>
      </c>
      <c r="E605" s="360">
        <v>46688</v>
      </c>
      <c r="F605" s="360">
        <v>46603</v>
      </c>
      <c r="G605" s="360">
        <v>46565</v>
      </c>
      <c r="H605" s="360">
        <v>46229</v>
      </c>
    </row>
    <row r="606" spans="1:8" x14ac:dyDescent="0.2">
      <c r="A606" s="359" t="s">
        <v>1555</v>
      </c>
      <c r="B606" s="359"/>
      <c r="C606" s="359" t="s">
        <v>1556</v>
      </c>
      <c r="D606" s="360">
        <v>185079</v>
      </c>
      <c r="E606" s="360">
        <v>185079</v>
      </c>
      <c r="F606" s="360">
        <v>185438</v>
      </c>
      <c r="G606" s="360">
        <v>187229</v>
      </c>
      <c r="H606" s="360">
        <v>189191</v>
      </c>
    </row>
    <row r="607" spans="1:8" x14ac:dyDescent="0.2">
      <c r="A607" s="359" t="s">
        <v>1557</v>
      </c>
      <c r="B607" s="359"/>
      <c r="C607" s="359" t="s">
        <v>1558</v>
      </c>
      <c r="D607" s="360">
        <v>64727</v>
      </c>
      <c r="E607" s="360">
        <v>64727</v>
      </c>
      <c r="F607" s="360">
        <v>64657</v>
      </c>
      <c r="G607" s="360">
        <v>65136</v>
      </c>
      <c r="H607" s="360">
        <v>66338</v>
      </c>
    </row>
    <row r="608" spans="1:8" x14ac:dyDescent="0.2">
      <c r="A608" s="359" t="s">
        <v>1559</v>
      </c>
      <c r="B608" s="359"/>
      <c r="C608" s="359" t="s">
        <v>1560</v>
      </c>
      <c r="D608" s="360">
        <v>111408</v>
      </c>
      <c r="E608" s="360">
        <v>111408</v>
      </c>
      <c r="F608" s="360">
        <v>111472</v>
      </c>
      <c r="G608" s="360">
        <v>111591</v>
      </c>
      <c r="H608" s="360">
        <v>112039</v>
      </c>
    </row>
    <row r="609" spans="1:8" x14ac:dyDescent="0.2">
      <c r="A609" s="359" t="s">
        <v>1561</v>
      </c>
      <c r="B609" s="359"/>
      <c r="C609" s="359" t="s">
        <v>1562</v>
      </c>
      <c r="D609" s="360">
        <v>22346</v>
      </c>
      <c r="E609" s="360">
        <v>22346</v>
      </c>
      <c r="F609" s="360">
        <v>22435</v>
      </c>
      <c r="G609" s="360">
        <v>22414</v>
      </c>
      <c r="H609" s="360">
        <v>22584</v>
      </c>
    </row>
    <row r="610" spans="1:8" x14ac:dyDescent="0.2">
      <c r="A610" s="359" t="s">
        <v>1563</v>
      </c>
      <c r="B610" s="359"/>
      <c r="C610" s="359" t="s">
        <v>1564</v>
      </c>
      <c r="D610" s="360">
        <v>38784</v>
      </c>
      <c r="E610" s="360">
        <v>38784</v>
      </c>
      <c r="F610" s="360">
        <v>38836</v>
      </c>
      <c r="G610" s="360">
        <v>38943</v>
      </c>
      <c r="H610" s="360">
        <v>38735</v>
      </c>
    </row>
    <row r="611" spans="1:8" x14ac:dyDescent="0.2">
      <c r="A611" s="359" t="s">
        <v>1565</v>
      </c>
      <c r="B611" s="359"/>
      <c r="C611" s="359" t="s">
        <v>1566</v>
      </c>
      <c r="D611" s="360">
        <v>63096</v>
      </c>
      <c r="E611" s="360">
        <v>63096</v>
      </c>
      <c r="F611" s="360">
        <v>63025</v>
      </c>
      <c r="G611" s="360">
        <v>62603</v>
      </c>
      <c r="H611" s="360">
        <v>62499</v>
      </c>
    </row>
    <row r="612" spans="1:8" x14ac:dyDescent="0.2">
      <c r="A612" s="359" t="s">
        <v>1567</v>
      </c>
      <c r="B612" s="359"/>
      <c r="C612" s="359" t="s">
        <v>1568</v>
      </c>
      <c r="D612" s="360">
        <v>45913</v>
      </c>
      <c r="E612" s="360">
        <v>45915</v>
      </c>
      <c r="F612" s="360">
        <v>45903</v>
      </c>
      <c r="G612" s="360">
        <v>46058</v>
      </c>
      <c r="H612" s="360">
        <v>45943</v>
      </c>
    </row>
    <row r="613" spans="1:8" x14ac:dyDescent="0.2">
      <c r="A613" s="359" t="s">
        <v>1569</v>
      </c>
      <c r="B613" s="359"/>
      <c r="C613" s="359" t="s">
        <v>1570</v>
      </c>
      <c r="D613" s="360">
        <v>37124</v>
      </c>
      <c r="E613" s="360">
        <v>37124</v>
      </c>
      <c r="F613" s="360">
        <v>37099</v>
      </c>
      <c r="G613" s="360">
        <v>37184</v>
      </c>
      <c r="H613" s="360">
        <v>36987</v>
      </c>
    </row>
    <row r="614" spans="1:8" x14ac:dyDescent="0.2">
      <c r="A614" s="359" t="s">
        <v>1571</v>
      </c>
      <c r="B614" s="359"/>
      <c r="C614" s="359" t="s">
        <v>1572</v>
      </c>
      <c r="D614" s="360">
        <v>82446</v>
      </c>
      <c r="E614" s="360">
        <v>82446</v>
      </c>
      <c r="F614" s="360">
        <v>82759</v>
      </c>
      <c r="G614" s="360">
        <v>82765</v>
      </c>
      <c r="H614" s="360">
        <v>82717</v>
      </c>
    </row>
    <row r="615" spans="1:8" x14ac:dyDescent="0.2">
      <c r="A615" s="359" t="s">
        <v>1573</v>
      </c>
      <c r="B615" s="359"/>
      <c r="C615" s="359" t="s">
        <v>1574</v>
      </c>
      <c r="D615" s="360">
        <v>17398</v>
      </c>
      <c r="E615" s="360">
        <v>17398</v>
      </c>
      <c r="F615" s="360">
        <v>17414</v>
      </c>
      <c r="G615" s="360">
        <v>17596</v>
      </c>
      <c r="H615" s="360">
        <v>17753</v>
      </c>
    </row>
    <row r="616" spans="1:8" x14ac:dyDescent="0.2">
      <c r="A616" s="359" t="s">
        <v>1575</v>
      </c>
      <c r="B616" s="359"/>
      <c r="C616" s="359" t="s">
        <v>1576</v>
      </c>
      <c r="D616" s="360">
        <v>64511</v>
      </c>
      <c r="E616" s="360">
        <v>64511</v>
      </c>
      <c r="F616" s="360">
        <v>64584</v>
      </c>
      <c r="G616" s="360">
        <v>64540</v>
      </c>
      <c r="H616" s="360">
        <v>64438</v>
      </c>
    </row>
    <row r="617" spans="1:8" x14ac:dyDescent="0.2">
      <c r="A617" s="359" t="s">
        <v>1577</v>
      </c>
      <c r="B617" s="359"/>
      <c r="C617" s="359" t="s">
        <v>1578</v>
      </c>
      <c r="D617" s="360">
        <v>36651</v>
      </c>
      <c r="E617" s="360">
        <v>36651</v>
      </c>
      <c r="F617" s="360">
        <v>36610</v>
      </c>
      <c r="G617" s="360">
        <v>36395</v>
      </c>
      <c r="H617" s="360">
        <v>36053</v>
      </c>
    </row>
    <row r="618" spans="1:8" x14ac:dyDescent="0.2">
      <c r="A618" s="359" t="s">
        <v>1579</v>
      </c>
      <c r="B618" s="359"/>
      <c r="C618" s="359" t="s">
        <v>1580</v>
      </c>
      <c r="D618" s="360">
        <v>88880</v>
      </c>
      <c r="E618" s="360">
        <v>88886</v>
      </c>
      <c r="F618" s="360">
        <v>88818</v>
      </c>
      <c r="G618" s="360">
        <v>88560</v>
      </c>
      <c r="H618" s="360">
        <v>88218</v>
      </c>
    </row>
    <row r="619" spans="1:8" x14ac:dyDescent="0.2">
      <c r="A619" s="359" t="s">
        <v>1581</v>
      </c>
      <c r="B619" s="359"/>
      <c r="C619" s="359" t="s">
        <v>1582</v>
      </c>
      <c r="D619" s="360">
        <v>29450</v>
      </c>
      <c r="E619" s="360">
        <v>29450</v>
      </c>
      <c r="F619" s="360">
        <v>28992</v>
      </c>
      <c r="G619" s="360">
        <v>28539</v>
      </c>
      <c r="H619" s="360">
        <v>28431</v>
      </c>
    </row>
    <row r="620" spans="1:8" x14ac:dyDescent="0.2">
      <c r="A620" s="359" t="s">
        <v>1583</v>
      </c>
      <c r="B620" s="359"/>
      <c r="C620" s="359" t="s">
        <v>1584</v>
      </c>
      <c r="D620" s="360">
        <v>63905</v>
      </c>
      <c r="E620" s="360">
        <v>63905</v>
      </c>
      <c r="F620" s="360">
        <v>63883</v>
      </c>
      <c r="G620" s="360">
        <v>63898</v>
      </c>
      <c r="H620" s="360">
        <v>63941</v>
      </c>
    </row>
    <row r="621" spans="1:8" x14ac:dyDescent="0.2">
      <c r="A621" s="359" t="s">
        <v>1585</v>
      </c>
      <c r="B621" s="359"/>
      <c r="C621" s="359" t="s">
        <v>1586</v>
      </c>
      <c r="D621" s="360">
        <v>30591</v>
      </c>
      <c r="E621" s="360">
        <v>30591</v>
      </c>
      <c r="F621" s="360">
        <v>30537</v>
      </c>
      <c r="G621" s="360">
        <v>30596</v>
      </c>
      <c r="H621" s="360">
        <v>30702</v>
      </c>
    </row>
    <row r="622" spans="1:8" x14ac:dyDescent="0.2">
      <c r="A622" s="359" t="s">
        <v>1587</v>
      </c>
      <c r="B622" s="359"/>
      <c r="C622" s="359" t="s">
        <v>1588</v>
      </c>
      <c r="D622" s="360">
        <v>33225</v>
      </c>
      <c r="E622" s="360">
        <v>33225</v>
      </c>
      <c r="F622" s="360">
        <v>33269</v>
      </c>
      <c r="G622" s="360">
        <v>33166</v>
      </c>
      <c r="H622" s="360">
        <v>32954</v>
      </c>
    </row>
    <row r="623" spans="1:8" x14ac:dyDescent="0.2">
      <c r="A623" s="359" t="s">
        <v>1589</v>
      </c>
      <c r="B623" s="359"/>
      <c r="C623" s="359" t="s">
        <v>1590</v>
      </c>
      <c r="D623" s="360">
        <v>31464</v>
      </c>
      <c r="E623" s="360">
        <v>31464</v>
      </c>
      <c r="F623" s="360">
        <v>31450</v>
      </c>
      <c r="G623" s="360">
        <v>31601</v>
      </c>
      <c r="H623" s="360">
        <v>31727</v>
      </c>
    </row>
    <row r="624" spans="1:8" x14ac:dyDescent="0.2">
      <c r="A624" s="359" t="s">
        <v>1591</v>
      </c>
      <c r="B624" s="359"/>
      <c r="C624" s="359" t="s">
        <v>1592</v>
      </c>
      <c r="D624" s="360">
        <v>40902</v>
      </c>
      <c r="E624" s="360">
        <v>40902</v>
      </c>
      <c r="F624" s="360">
        <v>40867</v>
      </c>
      <c r="G624" s="360">
        <v>40792</v>
      </c>
      <c r="H624" s="360">
        <v>40562</v>
      </c>
    </row>
    <row r="625" spans="1:8" x14ac:dyDescent="0.2">
      <c r="A625" s="359" t="s">
        <v>1593</v>
      </c>
      <c r="B625" s="359"/>
      <c r="C625" s="359" t="s">
        <v>1594</v>
      </c>
      <c r="D625" s="360">
        <v>50845</v>
      </c>
      <c r="E625" s="360">
        <v>50845</v>
      </c>
      <c r="F625" s="360">
        <v>50860</v>
      </c>
      <c r="G625" s="360">
        <v>50961</v>
      </c>
      <c r="H625" s="360">
        <v>51206</v>
      </c>
    </row>
    <row r="626" spans="1:8" x14ac:dyDescent="0.2">
      <c r="A626" s="359" t="s">
        <v>1595</v>
      </c>
      <c r="B626" s="359"/>
      <c r="C626" s="359" t="s">
        <v>1596</v>
      </c>
      <c r="D626" s="360">
        <v>21100</v>
      </c>
      <c r="E626" s="360">
        <v>21100</v>
      </c>
      <c r="F626" s="360">
        <v>21107</v>
      </c>
      <c r="G626" s="360">
        <v>20961</v>
      </c>
      <c r="H626" s="360">
        <v>20934</v>
      </c>
    </row>
    <row r="627" spans="1:8" x14ac:dyDescent="0.2">
      <c r="A627" s="359" t="s">
        <v>1597</v>
      </c>
      <c r="B627" s="359"/>
      <c r="C627" s="359" t="s">
        <v>1598</v>
      </c>
      <c r="D627" s="360">
        <v>134905</v>
      </c>
      <c r="E627" s="360">
        <v>134905</v>
      </c>
      <c r="F627" s="360">
        <v>134767</v>
      </c>
      <c r="G627" s="360">
        <v>134264</v>
      </c>
      <c r="H627" s="360">
        <v>133539</v>
      </c>
    </row>
    <row r="628" spans="1:8" x14ac:dyDescent="0.2">
      <c r="A628" s="359" t="s">
        <v>1599</v>
      </c>
      <c r="B628" s="359"/>
      <c r="C628" s="359" t="s">
        <v>1600</v>
      </c>
      <c r="D628" s="360">
        <v>54734</v>
      </c>
      <c r="E628" s="360">
        <v>54734</v>
      </c>
      <c r="F628" s="360">
        <v>54714</v>
      </c>
      <c r="G628" s="360">
        <v>54933</v>
      </c>
      <c r="H628" s="360">
        <v>54837</v>
      </c>
    </row>
    <row r="629" spans="1:8" x14ac:dyDescent="0.2">
      <c r="A629" s="359" t="s">
        <v>1601</v>
      </c>
      <c r="B629" s="359"/>
      <c r="C629" s="359" t="s">
        <v>1602</v>
      </c>
      <c r="D629" s="360">
        <v>60485</v>
      </c>
      <c r="E629" s="360">
        <v>60485</v>
      </c>
      <c r="F629" s="360">
        <v>60761</v>
      </c>
      <c r="G629" s="360">
        <v>60536</v>
      </c>
      <c r="H629" s="360">
        <v>60571</v>
      </c>
    </row>
    <row r="630" spans="1:8" x14ac:dyDescent="0.2">
      <c r="A630" s="359" t="s">
        <v>1603</v>
      </c>
      <c r="B630" s="359"/>
      <c r="C630" s="359" t="s">
        <v>1604</v>
      </c>
      <c r="D630" s="360">
        <v>30099</v>
      </c>
      <c r="E630" s="360">
        <v>30099</v>
      </c>
      <c r="F630" s="360">
        <v>30101</v>
      </c>
      <c r="G630" s="360">
        <v>30322</v>
      </c>
      <c r="H630" s="360">
        <v>30305</v>
      </c>
    </row>
    <row r="631" spans="1:8" x14ac:dyDescent="0.2">
      <c r="A631" s="359" t="s">
        <v>1605</v>
      </c>
      <c r="B631" s="359"/>
      <c r="C631" s="359" t="s">
        <v>1606</v>
      </c>
      <c r="D631" s="360">
        <v>34362</v>
      </c>
      <c r="E631" s="360">
        <v>34362</v>
      </c>
      <c r="F631" s="360">
        <v>35315</v>
      </c>
      <c r="G631" s="360">
        <v>35409</v>
      </c>
      <c r="H631" s="360">
        <v>38013</v>
      </c>
    </row>
    <row r="632" spans="1:8" x14ac:dyDescent="0.2">
      <c r="A632" s="359" t="s">
        <v>1607</v>
      </c>
      <c r="B632" s="359"/>
      <c r="C632" s="359" t="s">
        <v>1608</v>
      </c>
      <c r="D632" s="360">
        <v>31275</v>
      </c>
      <c r="E632" s="360">
        <v>31275</v>
      </c>
      <c r="F632" s="360">
        <v>31418</v>
      </c>
      <c r="G632" s="360">
        <v>32240</v>
      </c>
      <c r="H632" s="360">
        <v>32556</v>
      </c>
    </row>
    <row r="633" spans="1:8" x14ac:dyDescent="0.2">
      <c r="A633" s="359" t="s">
        <v>1609</v>
      </c>
      <c r="B633" s="359"/>
      <c r="C633" s="359" t="s">
        <v>1610</v>
      </c>
      <c r="D633" s="360">
        <v>90928</v>
      </c>
      <c r="E633" s="360">
        <v>90928</v>
      </c>
      <c r="F633" s="360">
        <v>90898</v>
      </c>
      <c r="G633" s="360">
        <v>91132</v>
      </c>
      <c r="H633" s="360">
        <v>91633</v>
      </c>
    </row>
    <row r="634" spans="1:8" x14ac:dyDescent="0.2">
      <c r="A634" s="359" t="s">
        <v>1611</v>
      </c>
      <c r="B634" s="359"/>
      <c r="C634" s="359" t="s">
        <v>1612</v>
      </c>
      <c r="D634" s="360">
        <v>67091</v>
      </c>
      <c r="E634" s="360">
        <v>67091</v>
      </c>
      <c r="F634" s="360">
        <v>67229</v>
      </c>
      <c r="G634" s="360">
        <v>67781</v>
      </c>
      <c r="H634" s="360">
        <v>68434</v>
      </c>
    </row>
    <row r="635" spans="1:8" x14ac:dyDescent="0.2">
      <c r="A635" s="359" t="s">
        <v>1613</v>
      </c>
      <c r="B635" s="359"/>
      <c r="C635" s="359" t="s">
        <v>1614</v>
      </c>
      <c r="D635" s="360">
        <v>52591</v>
      </c>
      <c r="E635" s="360">
        <v>52591</v>
      </c>
      <c r="F635" s="360">
        <v>52645</v>
      </c>
      <c r="G635" s="360">
        <v>53282</v>
      </c>
      <c r="H635" s="360">
        <v>53948</v>
      </c>
    </row>
    <row r="636" spans="1:8" x14ac:dyDescent="0.2">
      <c r="A636" s="359" t="s">
        <v>1615</v>
      </c>
      <c r="B636" s="359"/>
      <c r="C636" s="359" t="s">
        <v>1616</v>
      </c>
      <c r="D636" s="360">
        <v>77117</v>
      </c>
      <c r="E636" s="360">
        <v>77117</v>
      </c>
      <c r="F636" s="360">
        <v>77052</v>
      </c>
      <c r="G636" s="360">
        <v>76855</v>
      </c>
      <c r="H636" s="360">
        <v>76851</v>
      </c>
    </row>
    <row r="637" spans="1:8" x14ac:dyDescent="0.2">
      <c r="A637" s="359" t="s">
        <v>1617</v>
      </c>
      <c r="B637" s="359"/>
      <c r="C637" s="359" t="s">
        <v>1618</v>
      </c>
      <c r="D637" s="360">
        <v>47536</v>
      </c>
      <c r="E637" s="360">
        <v>47536</v>
      </c>
      <c r="F637" s="360">
        <v>47496</v>
      </c>
      <c r="G637" s="360">
        <v>47523</v>
      </c>
      <c r="H637" s="360">
        <v>47582</v>
      </c>
    </row>
    <row r="638" spans="1:8" x14ac:dyDescent="0.2">
      <c r="A638" s="359" t="s">
        <v>1619</v>
      </c>
      <c r="B638" s="359"/>
      <c r="C638" s="359" t="s">
        <v>1620</v>
      </c>
      <c r="D638" s="360">
        <v>31953</v>
      </c>
      <c r="E638" s="360">
        <v>31953</v>
      </c>
      <c r="F638" s="360">
        <v>31919</v>
      </c>
      <c r="G638" s="360">
        <v>31970</v>
      </c>
      <c r="H638" s="360">
        <v>31826</v>
      </c>
    </row>
    <row r="639" spans="1:8" x14ac:dyDescent="0.2">
      <c r="A639" s="359" t="s">
        <v>1621</v>
      </c>
      <c r="B639" s="359"/>
      <c r="C639" s="359" t="s">
        <v>1622</v>
      </c>
      <c r="D639" s="360">
        <v>49625</v>
      </c>
      <c r="E639" s="360">
        <v>49625</v>
      </c>
      <c r="F639" s="360">
        <v>49655</v>
      </c>
      <c r="G639" s="360">
        <v>49625</v>
      </c>
      <c r="H639" s="360">
        <v>49786</v>
      </c>
    </row>
    <row r="640" spans="1:8" x14ac:dyDescent="0.2">
      <c r="A640" s="359" t="s">
        <v>1623</v>
      </c>
      <c r="B640" s="359"/>
      <c r="C640" s="359" t="s">
        <v>1624</v>
      </c>
      <c r="D640" s="360">
        <v>13477</v>
      </c>
      <c r="E640" s="360">
        <v>13477</v>
      </c>
      <c r="F640" s="360">
        <v>13542</v>
      </c>
      <c r="G640" s="360">
        <v>13685</v>
      </c>
      <c r="H640" s="360">
        <v>13779</v>
      </c>
    </row>
    <row r="641" spans="1:8" x14ac:dyDescent="0.2">
      <c r="A641" s="359" t="s">
        <v>1625</v>
      </c>
      <c r="B641" s="359"/>
      <c r="C641" s="359" t="s">
        <v>1626</v>
      </c>
      <c r="D641" s="360">
        <v>73090</v>
      </c>
      <c r="E641" s="360">
        <v>73090</v>
      </c>
      <c r="F641" s="360">
        <v>73201</v>
      </c>
      <c r="G641" s="360">
        <v>74010</v>
      </c>
      <c r="H641" s="360">
        <v>74809</v>
      </c>
    </row>
    <row r="642" spans="1:8" x14ac:dyDescent="0.2">
      <c r="A642" s="359" t="s">
        <v>1627</v>
      </c>
      <c r="B642" s="359"/>
      <c r="C642" s="359" t="s">
        <v>1628</v>
      </c>
      <c r="D642" s="360">
        <v>38327</v>
      </c>
      <c r="E642" s="360">
        <v>38327</v>
      </c>
      <c r="F642" s="360">
        <v>38421</v>
      </c>
      <c r="G642" s="360">
        <v>38654</v>
      </c>
      <c r="H642" s="360">
        <v>38911</v>
      </c>
    </row>
    <row r="643" spans="1:8" x14ac:dyDescent="0.2">
      <c r="A643" s="359" t="s">
        <v>1629</v>
      </c>
      <c r="B643" s="359"/>
      <c r="C643" s="359" t="s">
        <v>1630</v>
      </c>
      <c r="D643" s="360">
        <v>32477</v>
      </c>
      <c r="E643" s="360">
        <v>32477</v>
      </c>
      <c r="F643" s="360">
        <v>32497</v>
      </c>
      <c r="G643" s="360">
        <v>32527</v>
      </c>
      <c r="H643" s="360">
        <v>32456</v>
      </c>
    </row>
    <row r="644" spans="1:8" x14ac:dyDescent="0.2">
      <c r="A644" s="359" t="s">
        <v>1631</v>
      </c>
      <c r="B644" s="359"/>
      <c r="C644" s="359" t="s">
        <v>1632</v>
      </c>
      <c r="D644" s="360">
        <v>59495</v>
      </c>
      <c r="E644" s="360">
        <v>59495</v>
      </c>
      <c r="F644" s="360">
        <v>59403</v>
      </c>
      <c r="G644" s="360">
        <v>59410</v>
      </c>
      <c r="H644" s="360">
        <v>59227</v>
      </c>
    </row>
    <row r="645" spans="1:8" x14ac:dyDescent="0.2">
      <c r="A645" s="359" t="s">
        <v>1633</v>
      </c>
      <c r="B645" s="359"/>
      <c r="C645" s="359" t="s">
        <v>1634</v>
      </c>
      <c r="D645" s="360">
        <v>30038</v>
      </c>
      <c r="E645" s="360">
        <v>30038</v>
      </c>
      <c r="F645" s="360">
        <v>30034</v>
      </c>
      <c r="G645" s="360">
        <v>29937</v>
      </c>
      <c r="H645" s="360">
        <v>29951</v>
      </c>
    </row>
    <row r="646" spans="1:8" x14ac:dyDescent="0.2">
      <c r="A646" s="359" t="s">
        <v>1635</v>
      </c>
      <c r="B646" s="359"/>
      <c r="C646" s="359" t="s">
        <v>1636</v>
      </c>
      <c r="D646" s="360">
        <v>66380</v>
      </c>
      <c r="E646" s="360">
        <v>66380</v>
      </c>
      <c r="F646" s="360">
        <v>66349</v>
      </c>
      <c r="G646" s="360">
        <v>66296</v>
      </c>
      <c r="H646" s="360">
        <v>65912</v>
      </c>
    </row>
    <row r="647" spans="1:8" x14ac:dyDescent="0.2">
      <c r="A647" s="359" t="s">
        <v>1637</v>
      </c>
      <c r="B647" s="359"/>
      <c r="C647" s="359" t="s">
        <v>1638</v>
      </c>
      <c r="D647" s="360">
        <v>60088</v>
      </c>
      <c r="E647" s="360">
        <v>60088</v>
      </c>
      <c r="F647" s="360">
        <v>60102</v>
      </c>
      <c r="G647" s="360">
        <v>60189</v>
      </c>
      <c r="H647" s="360">
        <v>60327</v>
      </c>
    </row>
    <row r="648" spans="1:8" x14ac:dyDescent="0.2">
      <c r="A648" s="359" t="s">
        <v>1639</v>
      </c>
      <c r="B648" s="359"/>
      <c r="C648" s="359" t="s">
        <v>1640</v>
      </c>
      <c r="D648" s="360">
        <v>25748</v>
      </c>
      <c r="E648" s="360">
        <v>25748</v>
      </c>
      <c r="F648" s="360">
        <v>25761</v>
      </c>
      <c r="G648" s="360">
        <v>25775</v>
      </c>
      <c r="H648" s="360">
        <v>25759</v>
      </c>
    </row>
    <row r="649" spans="1:8" x14ac:dyDescent="0.2">
      <c r="A649" s="359" t="s">
        <v>1641</v>
      </c>
      <c r="B649" s="359"/>
      <c r="C649" s="359" t="s">
        <v>1642</v>
      </c>
      <c r="D649" s="360">
        <v>67044</v>
      </c>
      <c r="E649" s="360">
        <v>67044</v>
      </c>
      <c r="F649" s="360">
        <v>67186</v>
      </c>
      <c r="G649" s="360">
        <v>67795</v>
      </c>
      <c r="H649" s="360">
        <v>68468</v>
      </c>
    </row>
    <row r="650" spans="1:8" x14ac:dyDescent="0.2">
      <c r="A650" s="359" t="s">
        <v>1643</v>
      </c>
      <c r="B650" s="359"/>
      <c r="C650" s="359" t="s">
        <v>1644</v>
      </c>
      <c r="D650" s="360">
        <v>67531</v>
      </c>
      <c r="E650" s="360">
        <v>67532</v>
      </c>
      <c r="F650" s="360">
        <v>67650</v>
      </c>
      <c r="G650" s="360">
        <v>67383</v>
      </c>
      <c r="H650" s="360">
        <v>67966</v>
      </c>
    </row>
    <row r="651" spans="1:8" x14ac:dyDescent="0.2">
      <c r="A651" s="359" t="s">
        <v>1645</v>
      </c>
      <c r="B651" s="359"/>
      <c r="C651" s="359" t="s">
        <v>1646</v>
      </c>
      <c r="D651" s="360">
        <v>13833</v>
      </c>
      <c r="E651" s="360">
        <v>13833</v>
      </c>
      <c r="F651" s="360">
        <v>13837</v>
      </c>
      <c r="G651" s="360">
        <v>13783</v>
      </c>
      <c r="H651" s="360">
        <v>13640</v>
      </c>
    </row>
    <row r="652" spans="1:8" x14ac:dyDescent="0.2">
      <c r="A652" s="359" t="s">
        <v>1647</v>
      </c>
      <c r="B652" s="359"/>
      <c r="C652" s="359" t="s">
        <v>1648</v>
      </c>
      <c r="D652" s="360">
        <v>36299</v>
      </c>
      <c r="E652" s="360">
        <v>36299</v>
      </c>
      <c r="F652" s="360">
        <v>36422</v>
      </c>
      <c r="G652" s="360">
        <v>36848</v>
      </c>
      <c r="H652" s="360">
        <v>37276</v>
      </c>
    </row>
    <row r="653" spans="1:8" x14ac:dyDescent="0.2">
      <c r="A653" s="359" t="s">
        <v>1649</v>
      </c>
      <c r="B653" s="359"/>
      <c r="C653" s="359" t="s">
        <v>1650</v>
      </c>
      <c r="D653" s="360">
        <v>29393</v>
      </c>
      <c r="E653" s="360">
        <v>29393</v>
      </c>
      <c r="F653" s="360">
        <v>29364</v>
      </c>
      <c r="G653" s="360">
        <v>29301</v>
      </c>
      <c r="H653" s="360">
        <v>28891</v>
      </c>
    </row>
    <row r="654" spans="1:8" x14ac:dyDescent="0.2">
      <c r="A654" s="359" t="s">
        <v>1651</v>
      </c>
      <c r="B654" s="359"/>
      <c r="C654" s="359" t="s">
        <v>1652</v>
      </c>
      <c r="D654" s="360">
        <v>84823</v>
      </c>
      <c r="E654" s="360">
        <v>84823</v>
      </c>
      <c r="F654" s="360">
        <v>84872</v>
      </c>
      <c r="G654" s="360">
        <v>84812</v>
      </c>
      <c r="H654" s="360">
        <v>85164</v>
      </c>
    </row>
    <row r="655" spans="1:8" x14ac:dyDescent="0.2">
      <c r="A655" s="359" t="s">
        <v>1653</v>
      </c>
      <c r="B655" s="359"/>
      <c r="C655" s="359" t="s">
        <v>1654</v>
      </c>
      <c r="D655" s="360">
        <v>36157</v>
      </c>
      <c r="E655" s="360">
        <v>36157</v>
      </c>
      <c r="F655" s="360">
        <v>36104</v>
      </c>
      <c r="G655" s="360">
        <v>36356</v>
      </c>
      <c r="H655" s="360">
        <v>36094</v>
      </c>
    </row>
    <row r="656" spans="1:8" x14ac:dyDescent="0.2">
      <c r="A656" s="359" t="s">
        <v>1655</v>
      </c>
      <c r="B656" s="359"/>
      <c r="C656" s="359" t="s">
        <v>1656</v>
      </c>
      <c r="D656" s="360">
        <v>41869</v>
      </c>
      <c r="E656" s="360">
        <v>41869</v>
      </c>
      <c r="F656" s="360">
        <v>42012</v>
      </c>
      <c r="G656" s="360">
        <v>42039</v>
      </c>
      <c r="H656" s="360">
        <v>42086</v>
      </c>
    </row>
    <row r="657" spans="1:8" x14ac:dyDescent="0.2">
      <c r="A657" s="359" t="s">
        <v>1657</v>
      </c>
      <c r="B657" s="359"/>
      <c r="C657" s="359" t="s">
        <v>1658</v>
      </c>
      <c r="D657" s="360">
        <v>35571</v>
      </c>
      <c r="E657" s="360">
        <v>35571</v>
      </c>
      <c r="F657" s="360">
        <v>35648</v>
      </c>
      <c r="G657" s="360">
        <v>35596</v>
      </c>
      <c r="H657" s="360">
        <v>35417</v>
      </c>
    </row>
    <row r="658" spans="1:8" x14ac:dyDescent="0.2">
      <c r="A658" s="359" t="s">
        <v>1659</v>
      </c>
      <c r="B658" s="359"/>
      <c r="C658" s="359" t="s">
        <v>1660</v>
      </c>
      <c r="D658" s="360">
        <v>22935</v>
      </c>
      <c r="E658" s="360">
        <v>22935</v>
      </c>
      <c r="F658" s="360">
        <v>22844</v>
      </c>
      <c r="G658" s="360">
        <v>22979</v>
      </c>
      <c r="H658" s="360">
        <v>23072</v>
      </c>
    </row>
    <row r="659" spans="1:8" x14ac:dyDescent="0.2">
      <c r="A659" s="359" t="s">
        <v>1661</v>
      </c>
      <c r="B659" s="359"/>
      <c r="C659" s="359" t="s">
        <v>1662</v>
      </c>
      <c r="D659" s="360">
        <v>44947</v>
      </c>
      <c r="E659" s="360">
        <v>44949</v>
      </c>
      <c r="F659" s="360">
        <v>44942</v>
      </c>
      <c r="G659" s="360">
        <v>44976</v>
      </c>
      <c r="H659" s="360">
        <v>44952</v>
      </c>
    </row>
    <row r="660" spans="1:8" x14ac:dyDescent="0.2">
      <c r="A660" s="359" t="s">
        <v>1663</v>
      </c>
      <c r="B660" s="359"/>
      <c r="C660" s="359" t="s">
        <v>1664</v>
      </c>
      <c r="D660" s="360">
        <v>30617</v>
      </c>
      <c r="E660" s="360">
        <v>30617</v>
      </c>
      <c r="F660" s="360">
        <v>30659</v>
      </c>
      <c r="G660" s="360">
        <v>30872</v>
      </c>
      <c r="H660" s="360">
        <v>30883</v>
      </c>
    </row>
    <row r="661" spans="1:8" x14ac:dyDescent="0.2">
      <c r="A661" s="359" t="s">
        <v>1665</v>
      </c>
      <c r="B661" s="359"/>
      <c r="C661" s="359" t="s">
        <v>1666</v>
      </c>
      <c r="D661" s="360">
        <v>46682</v>
      </c>
      <c r="E661" s="360">
        <v>46683</v>
      </c>
      <c r="F661" s="360">
        <v>46660</v>
      </c>
      <c r="G661" s="360">
        <v>46775</v>
      </c>
      <c r="H661" s="360">
        <v>46773</v>
      </c>
    </row>
    <row r="662" spans="1:8" x14ac:dyDescent="0.2">
      <c r="A662" s="359" t="s">
        <v>1667</v>
      </c>
      <c r="B662" s="359"/>
      <c r="C662" s="359" t="s">
        <v>1668</v>
      </c>
      <c r="D662" s="360">
        <v>26370</v>
      </c>
      <c r="E662" s="360">
        <v>26370</v>
      </c>
      <c r="F662" s="360">
        <v>26402</v>
      </c>
      <c r="G662" s="360">
        <v>26340</v>
      </c>
      <c r="H662" s="360">
        <v>26249</v>
      </c>
    </row>
    <row r="663" spans="1:8" x14ac:dyDescent="0.2">
      <c r="A663" s="359" t="s">
        <v>1669</v>
      </c>
      <c r="B663" s="359"/>
      <c r="C663" s="359" t="s">
        <v>1670</v>
      </c>
      <c r="D663" s="360">
        <v>22952</v>
      </c>
      <c r="E663" s="360">
        <v>22952</v>
      </c>
      <c r="F663" s="360">
        <v>22991</v>
      </c>
      <c r="G663" s="360">
        <v>23276</v>
      </c>
      <c r="H663" s="360">
        <v>23547</v>
      </c>
    </row>
    <row r="664" spans="1:8" x14ac:dyDescent="0.2">
      <c r="A664" s="359" t="s">
        <v>1671</v>
      </c>
      <c r="B664" s="359"/>
      <c r="C664" s="359" t="s">
        <v>1672</v>
      </c>
      <c r="D664" s="360">
        <v>30305</v>
      </c>
      <c r="E664" s="360">
        <v>30305</v>
      </c>
      <c r="F664" s="360">
        <v>30270</v>
      </c>
      <c r="G664" s="360">
        <v>30250</v>
      </c>
      <c r="H664" s="360">
        <v>30013</v>
      </c>
    </row>
    <row r="665" spans="1:8" x14ac:dyDescent="0.2">
      <c r="A665" s="359" t="s">
        <v>1673</v>
      </c>
      <c r="B665" s="359"/>
      <c r="C665" s="359" t="s">
        <v>1674</v>
      </c>
      <c r="D665" s="360">
        <v>39238</v>
      </c>
      <c r="E665" s="360">
        <v>39241</v>
      </c>
      <c r="F665" s="360">
        <v>39245</v>
      </c>
      <c r="G665" s="360">
        <v>39513</v>
      </c>
      <c r="H665" s="360">
        <v>39517</v>
      </c>
    </row>
    <row r="666" spans="1:8" x14ac:dyDescent="0.2">
      <c r="A666" s="359" t="s">
        <v>1675</v>
      </c>
      <c r="B666" s="359"/>
      <c r="C666" s="359" t="s">
        <v>1676</v>
      </c>
      <c r="D666" s="360">
        <v>36743</v>
      </c>
      <c r="E666" s="360">
        <v>36745</v>
      </c>
      <c r="F666" s="360">
        <v>36730</v>
      </c>
      <c r="G666" s="360">
        <v>36449</v>
      </c>
      <c r="H666" s="360">
        <v>36168</v>
      </c>
    </row>
    <row r="667" spans="1:8" x14ac:dyDescent="0.2">
      <c r="A667" s="359" t="s">
        <v>1677</v>
      </c>
      <c r="B667" s="359"/>
      <c r="C667" s="359" t="s">
        <v>1678</v>
      </c>
      <c r="D667" s="360">
        <v>38966</v>
      </c>
      <c r="E667" s="360">
        <v>38966</v>
      </c>
      <c r="F667" s="360">
        <v>38948</v>
      </c>
      <c r="G667" s="360">
        <v>38810</v>
      </c>
      <c r="H667" s="360">
        <v>38581</v>
      </c>
    </row>
    <row r="668" spans="1:8" x14ac:dyDescent="0.2">
      <c r="A668" s="359" t="s">
        <v>1679</v>
      </c>
      <c r="B668" s="359"/>
      <c r="C668" s="359" t="s">
        <v>1680</v>
      </c>
      <c r="D668" s="360">
        <v>126369</v>
      </c>
      <c r="E668" s="360">
        <v>126369</v>
      </c>
      <c r="F668" s="360">
        <v>126505</v>
      </c>
      <c r="G668" s="360">
        <v>126927</v>
      </c>
      <c r="H668" s="360">
        <v>126696</v>
      </c>
    </row>
    <row r="669" spans="1:8" x14ac:dyDescent="0.2">
      <c r="A669" s="359" t="s">
        <v>1681</v>
      </c>
      <c r="B669" s="359"/>
      <c r="C669" s="359" t="s">
        <v>1682</v>
      </c>
      <c r="D669" s="360">
        <v>17950</v>
      </c>
      <c r="E669" s="360">
        <v>17950</v>
      </c>
      <c r="F669" s="360">
        <v>18018</v>
      </c>
      <c r="G669" s="360">
        <v>18196</v>
      </c>
      <c r="H669" s="360">
        <v>18159</v>
      </c>
    </row>
    <row r="670" spans="1:8" x14ac:dyDescent="0.2">
      <c r="A670" s="359" t="s">
        <v>1683</v>
      </c>
      <c r="B670" s="359"/>
      <c r="C670" s="359" t="s">
        <v>1684</v>
      </c>
      <c r="D670" s="360">
        <v>28705</v>
      </c>
      <c r="E670" s="360">
        <v>28705</v>
      </c>
      <c r="F670" s="360">
        <v>28715</v>
      </c>
      <c r="G670" s="360">
        <v>28642</v>
      </c>
      <c r="H670" s="360">
        <v>28680</v>
      </c>
    </row>
    <row r="671" spans="1:8" x14ac:dyDescent="0.2">
      <c r="A671" s="359" t="s">
        <v>1685</v>
      </c>
      <c r="B671" s="359"/>
      <c r="C671" s="359" t="s">
        <v>1686</v>
      </c>
      <c r="D671" s="360">
        <v>86771</v>
      </c>
      <c r="E671" s="360">
        <v>86771</v>
      </c>
      <c r="F671" s="360">
        <v>86888</v>
      </c>
      <c r="G671" s="360">
        <v>87276</v>
      </c>
      <c r="H671" s="360">
        <v>87597</v>
      </c>
    </row>
    <row r="672" spans="1:8" x14ac:dyDescent="0.2">
      <c r="A672" s="359" t="s">
        <v>1687</v>
      </c>
      <c r="B672" s="359"/>
      <c r="C672" s="359" t="s">
        <v>1688</v>
      </c>
      <c r="D672" s="360">
        <v>134168</v>
      </c>
      <c r="E672" s="360">
        <v>134168</v>
      </c>
      <c r="F672" s="360">
        <v>134410</v>
      </c>
      <c r="G672" s="360">
        <v>134976</v>
      </c>
      <c r="H672" s="360">
        <v>135496</v>
      </c>
    </row>
    <row r="673" spans="1:8" x14ac:dyDescent="0.2">
      <c r="A673" s="359" t="s">
        <v>1689</v>
      </c>
      <c r="B673" s="359"/>
      <c r="C673" s="359" t="s">
        <v>1690</v>
      </c>
      <c r="D673" s="360">
        <v>32612</v>
      </c>
      <c r="E673" s="360">
        <v>32612</v>
      </c>
      <c r="F673" s="360">
        <v>32583</v>
      </c>
      <c r="G673" s="360">
        <v>32496</v>
      </c>
      <c r="H673" s="360">
        <v>32537</v>
      </c>
    </row>
    <row r="674" spans="1:8" x14ac:dyDescent="0.2">
      <c r="A674" s="359" t="s">
        <v>1691</v>
      </c>
      <c r="B674" s="359"/>
      <c r="C674" s="359" t="s">
        <v>1692</v>
      </c>
      <c r="D674" s="360">
        <v>32428</v>
      </c>
      <c r="E674" s="360">
        <v>32428</v>
      </c>
      <c r="F674" s="360">
        <v>32455</v>
      </c>
      <c r="G674" s="360">
        <v>32353</v>
      </c>
      <c r="H674" s="360">
        <v>32554</v>
      </c>
    </row>
    <row r="675" spans="1:8" x14ac:dyDescent="0.2">
      <c r="A675" s="359" t="s">
        <v>1693</v>
      </c>
      <c r="B675" s="359"/>
      <c r="C675" s="359" t="s">
        <v>1694</v>
      </c>
      <c r="D675" s="360">
        <v>46920</v>
      </c>
      <c r="E675" s="360">
        <v>46920</v>
      </c>
      <c r="F675" s="360">
        <v>46881</v>
      </c>
      <c r="G675" s="360">
        <v>46885</v>
      </c>
      <c r="H675" s="360">
        <v>46718</v>
      </c>
    </row>
    <row r="676" spans="1:8" x14ac:dyDescent="0.2">
      <c r="A676" s="359" t="s">
        <v>1695</v>
      </c>
      <c r="B676" s="359"/>
      <c r="C676" s="359" t="s">
        <v>1696</v>
      </c>
      <c r="D676" s="360">
        <v>24552</v>
      </c>
      <c r="E676" s="360">
        <v>24552</v>
      </c>
      <c r="F676" s="360">
        <v>24760</v>
      </c>
      <c r="G676" s="360">
        <v>24697</v>
      </c>
      <c r="H676" s="360">
        <v>24473</v>
      </c>
    </row>
    <row r="677" spans="1:8" x14ac:dyDescent="0.2">
      <c r="A677" s="359" t="s">
        <v>1697</v>
      </c>
      <c r="B677" s="359"/>
      <c r="C677" s="359" t="s">
        <v>1698</v>
      </c>
      <c r="D677" s="360">
        <v>51599</v>
      </c>
      <c r="E677" s="360">
        <v>51597</v>
      </c>
      <c r="F677" s="360">
        <v>51555</v>
      </c>
      <c r="G677" s="360">
        <v>51528</v>
      </c>
      <c r="H677" s="360">
        <v>51795</v>
      </c>
    </row>
    <row r="678" spans="1:8" x14ac:dyDescent="0.2">
      <c r="A678" s="359" t="s">
        <v>1699</v>
      </c>
      <c r="B678" s="359"/>
      <c r="C678" s="359" t="s">
        <v>1700</v>
      </c>
      <c r="D678" s="360">
        <v>32923</v>
      </c>
      <c r="E678" s="360">
        <v>32923</v>
      </c>
      <c r="F678" s="360">
        <v>33121</v>
      </c>
      <c r="G678" s="360">
        <v>33005</v>
      </c>
      <c r="H678" s="360">
        <v>33394</v>
      </c>
    </row>
    <row r="679" spans="1:8" x14ac:dyDescent="0.2">
      <c r="A679" s="359" t="s">
        <v>1701</v>
      </c>
      <c r="B679" s="359"/>
      <c r="C679" s="359" t="s">
        <v>1702</v>
      </c>
      <c r="D679" s="360">
        <v>81442</v>
      </c>
      <c r="E679" s="360">
        <v>81442</v>
      </c>
      <c r="F679" s="360">
        <v>81273</v>
      </c>
      <c r="G679" s="360">
        <v>81088</v>
      </c>
      <c r="H679" s="360">
        <v>80671</v>
      </c>
    </row>
    <row r="680" spans="1:8" x14ac:dyDescent="0.2">
      <c r="A680" s="359" t="s">
        <v>1703</v>
      </c>
      <c r="B680" s="359"/>
      <c r="C680" s="359" t="s">
        <v>1704</v>
      </c>
      <c r="D680" s="360">
        <v>61778</v>
      </c>
      <c r="E680" s="360">
        <v>61778</v>
      </c>
      <c r="F680" s="360">
        <v>61706</v>
      </c>
      <c r="G680" s="360">
        <v>61567</v>
      </c>
      <c r="H680" s="360">
        <v>61475</v>
      </c>
    </row>
    <row r="681" spans="1:8" x14ac:dyDescent="0.2">
      <c r="A681" s="359" t="s">
        <v>1705</v>
      </c>
      <c r="B681" s="359"/>
      <c r="C681" s="359" t="s">
        <v>1706</v>
      </c>
      <c r="D681" s="360">
        <v>65778</v>
      </c>
      <c r="E681" s="360">
        <v>65778</v>
      </c>
      <c r="F681" s="360">
        <v>65689</v>
      </c>
      <c r="G681" s="360">
        <v>65411</v>
      </c>
      <c r="H681" s="360">
        <v>65378</v>
      </c>
    </row>
    <row r="682" spans="1:8" x14ac:dyDescent="0.2">
      <c r="A682" s="359" t="s">
        <v>1707</v>
      </c>
      <c r="B682" s="359"/>
      <c r="C682" s="359" t="s">
        <v>1708</v>
      </c>
      <c r="D682" s="360">
        <v>70061</v>
      </c>
      <c r="E682" s="360">
        <v>70061</v>
      </c>
      <c r="F682" s="360">
        <v>69978</v>
      </c>
      <c r="G682" s="360">
        <v>69675</v>
      </c>
      <c r="H682" s="360">
        <v>69330</v>
      </c>
    </row>
    <row r="683" spans="1:8" x14ac:dyDescent="0.2">
      <c r="A683" s="359" t="s">
        <v>1709</v>
      </c>
      <c r="B683" s="359"/>
      <c r="C683" s="359" t="s">
        <v>1710</v>
      </c>
      <c r="D683" s="360">
        <v>44996</v>
      </c>
      <c r="E683" s="360">
        <v>44996</v>
      </c>
      <c r="F683" s="360">
        <v>45051</v>
      </c>
      <c r="G683" s="360">
        <v>44949</v>
      </c>
      <c r="H683" s="360">
        <v>44998</v>
      </c>
    </row>
    <row r="684" spans="1:8" x14ac:dyDescent="0.2">
      <c r="A684" s="359" t="s">
        <v>1711</v>
      </c>
      <c r="B684" s="359"/>
      <c r="C684" s="359" t="s">
        <v>1712</v>
      </c>
      <c r="D684" s="360">
        <v>66501</v>
      </c>
      <c r="E684" s="360">
        <v>66501</v>
      </c>
      <c r="F684" s="360">
        <v>66459</v>
      </c>
      <c r="G684" s="360">
        <v>66535</v>
      </c>
      <c r="H684" s="360">
        <v>66238</v>
      </c>
    </row>
    <row r="685" spans="1:8" x14ac:dyDescent="0.2">
      <c r="A685" s="359" t="s">
        <v>1713</v>
      </c>
      <c r="B685" s="359"/>
      <c r="C685" s="359" t="s">
        <v>1714</v>
      </c>
      <c r="D685" s="360">
        <v>67077</v>
      </c>
      <c r="E685" s="360">
        <v>67077</v>
      </c>
      <c r="F685" s="360">
        <v>67116</v>
      </c>
      <c r="G685" s="360">
        <v>67563</v>
      </c>
      <c r="H685" s="360">
        <v>67906</v>
      </c>
    </row>
    <row r="686" spans="1:8" x14ac:dyDescent="0.2">
      <c r="A686" s="359" t="s">
        <v>1715</v>
      </c>
      <c r="B686" s="359"/>
      <c r="C686" s="359" t="s">
        <v>1716</v>
      </c>
      <c r="D686" s="360">
        <v>25857</v>
      </c>
      <c r="E686" s="360">
        <v>25857</v>
      </c>
      <c r="F686" s="360">
        <v>25854</v>
      </c>
      <c r="G686" s="360">
        <v>25759</v>
      </c>
      <c r="H686" s="360">
        <v>25543</v>
      </c>
    </row>
    <row r="687" spans="1:8" x14ac:dyDescent="0.2">
      <c r="A687" s="359" t="s">
        <v>1717</v>
      </c>
      <c r="B687" s="359"/>
      <c r="C687" s="359" t="s">
        <v>1718</v>
      </c>
      <c r="D687" s="360">
        <v>23370</v>
      </c>
      <c r="E687" s="360">
        <v>23370</v>
      </c>
      <c r="F687" s="360">
        <v>23389</v>
      </c>
      <c r="G687" s="360">
        <v>23244</v>
      </c>
      <c r="H687" s="360">
        <v>23339</v>
      </c>
    </row>
    <row r="688" spans="1:8" x14ac:dyDescent="0.2">
      <c r="A688" s="359" t="s">
        <v>1719</v>
      </c>
      <c r="B688" s="359"/>
      <c r="C688" s="359" t="s">
        <v>1720</v>
      </c>
      <c r="D688" s="360">
        <v>65631</v>
      </c>
      <c r="E688" s="360">
        <v>65632</v>
      </c>
      <c r="F688" s="360">
        <v>65744</v>
      </c>
      <c r="G688" s="360">
        <v>67302</v>
      </c>
      <c r="H688" s="360">
        <v>67450</v>
      </c>
    </row>
    <row r="689" spans="1:8" x14ac:dyDescent="0.2">
      <c r="A689" s="359" t="s">
        <v>1721</v>
      </c>
      <c r="B689" s="359"/>
      <c r="C689" s="359" t="s">
        <v>1722</v>
      </c>
      <c r="D689" s="360">
        <v>40648</v>
      </c>
      <c r="E689" s="360">
        <v>40648</v>
      </c>
      <c r="F689" s="360">
        <v>40674</v>
      </c>
      <c r="G689" s="360">
        <v>40879</v>
      </c>
      <c r="H689" s="360">
        <v>40857</v>
      </c>
    </row>
    <row r="690" spans="1:8" x14ac:dyDescent="0.2">
      <c r="A690" s="359" t="s">
        <v>1723</v>
      </c>
      <c r="B690" s="359"/>
      <c r="C690" s="359" t="s">
        <v>1724</v>
      </c>
      <c r="D690" s="360">
        <v>35021</v>
      </c>
      <c r="E690" s="360">
        <v>35021</v>
      </c>
      <c r="F690" s="360">
        <v>35015</v>
      </c>
      <c r="G690" s="360">
        <v>34984</v>
      </c>
      <c r="H690" s="360">
        <v>34793</v>
      </c>
    </row>
    <row r="691" spans="1:8" x14ac:dyDescent="0.2">
      <c r="A691" s="359" t="s">
        <v>1725</v>
      </c>
      <c r="B691" s="359"/>
      <c r="C691" s="359" t="s">
        <v>1726</v>
      </c>
      <c r="D691" s="360">
        <v>67972</v>
      </c>
      <c r="E691" s="360">
        <v>67975</v>
      </c>
      <c r="F691" s="360">
        <v>67823</v>
      </c>
      <c r="G691" s="360">
        <v>67072</v>
      </c>
      <c r="H691" s="360">
        <v>66702</v>
      </c>
    </row>
    <row r="692" spans="1:8" x14ac:dyDescent="0.2">
      <c r="A692" s="359" t="s">
        <v>1727</v>
      </c>
      <c r="B692" s="359"/>
      <c r="C692" s="359" t="s">
        <v>1728</v>
      </c>
      <c r="D692" s="360">
        <v>23370</v>
      </c>
      <c r="E692" s="360">
        <v>23370</v>
      </c>
      <c r="F692" s="360">
        <v>23380</v>
      </c>
      <c r="G692" s="360">
        <v>23458</v>
      </c>
      <c r="H692" s="360">
        <v>23419</v>
      </c>
    </row>
    <row r="693" spans="1:8" x14ac:dyDescent="0.2">
      <c r="A693" s="359" t="s">
        <v>1729</v>
      </c>
      <c r="B693" s="359"/>
      <c r="C693" s="359" t="s">
        <v>1730</v>
      </c>
      <c r="D693" s="360">
        <v>51749</v>
      </c>
      <c r="E693" s="360">
        <v>51749</v>
      </c>
      <c r="F693" s="360">
        <v>51679</v>
      </c>
      <c r="G693" s="360">
        <v>51567</v>
      </c>
      <c r="H693" s="360">
        <v>51307</v>
      </c>
    </row>
    <row r="694" spans="1:8" x14ac:dyDescent="0.2">
      <c r="A694" s="359" t="s">
        <v>1731</v>
      </c>
      <c r="B694" s="359"/>
      <c r="C694" s="359" t="s">
        <v>1732</v>
      </c>
      <c r="D694" s="360">
        <v>37121</v>
      </c>
      <c r="E694" s="360">
        <v>37121</v>
      </c>
      <c r="F694" s="360">
        <v>37185</v>
      </c>
      <c r="G694" s="360">
        <v>37476</v>
      </c>
      <c r="H694" s="360">
        <v>37544</v>
      </c>
    </row>
    <row r="695" spans="1:8" x14ac:dyDescent="0.2">
      <c r="A695" s="359" t="s">
        <v>1733</v>
      </c>
      <c r="B695" s="359"/>
      <c r="C695" s="359" t="s">
        <v>1734</v>
      </c>
      <c r="D695" s="360">
        <v>17490</v>
      </c>
      <c r="E695" s="360">
        <v>17490</v>
      </c>
      <c r="F695" s="360">
        <v>17490</v>
      </c>
      <c r="G695" s="360">
        <v>17556</v>
      </c>
      <c r="H695" s="360">
        <v>17512</v>
      </c>
    </row>
    <row r="696" spans="1:8" x14ac:dyDescent="0.2">
      <c r="A696" s="359" t="s">
        <v>1735</v>
      </c>
      <c r="B696" s="359"/>
      <c r="C696" s="359" t="s">
        <v>1736</v>
      </c>
      <c r="D696" s="360">
        <v>45837</v>
      </c>
      <c r="E696" s="360">
        <v>45837</v>
      </c>
      <c r="F696" s="360">
        <v>45818</v>
      </c>
      <c r="G696" s="360">
        <v>45645</v>
      </c>
      <c r="H696" s="360">
        <v>45048</v>
      </c>
    </row>
    <row r="697" spans="1:8" x14ac:dyDescent="0.2">
      <c r="A697" s="359" t="s">
        <v>1737</v>
      </c>
      <c r="B697" s="359"/>
      <c r="C697" s="359" t="s">
        <v>1738</v>
      </c>
      <c r="D697" s="360">
        <v>53535</v>
      </c>
      <c r="E697" s="360">
        <v>53535</v>
      </c>
      <c r="F697" s="360">
        <v>53507</v>
      </c>
      <c r="G697" s="360">
        <v>53514</v>
      </c>
      <c r="H697" s="360">
        <v>53057</v>
      </c>
    </row>
    <row r="698" spans="1:8" x14ac:dyDescent="0.2">
      <c r="A698" s="359" t="s">
        <v>1739</v>
      </c>
      <c r="B698" s="359"/>
      <c r="C698" s="359" t="s">
        <v>1740</v>
      </c>
      <c r="D698" s="360">
        <v>39839</v>
      </c>
      <c r="E698" s="360">
        <v>39839</v>
      </c>
      <c r="F698" s="360">
        <v>39846</v>
      </c>
      <c r="G698" s="360">
        <v>39909</v>
      </c>
      <c r="H698" s="360">
        <v>39839</v>
      </c>
    </row>
    <row r="699" spans="1:8" x14ac:dyDescent="0.2">
      <c r="A699" s="359" t="s">
        <v>1741</v>
      </c>
      <c r="B699" s="359"/>
      <c r="C699" s="359" t="s">
        <v>1742</v>
      </c>
      <c r="D699" s="360">
        <v>29180</v>
      </c>
      <c r="E699" s="360">
        <v>29180</v>
      </c>
      <c r="F699" s="360">
        <v>29140</v>
      </c>
      <c r="G699" s="360">
        <v>29227</v>
      </c>
      <c r="H699" s="360">
        <v>29356</v>
      </c>
    </row>
    <row r="700" spans="1:8" x14ac:dyDescent="0.2">
      <c r="A700" s="359" t="s">
        <v>1743</v>
      </c>
      <c r="B700" s="359"/>
      <c r="C700" s="359" t="s">
        <v>1744</v>
      </c>
      <c r="D700" s="360">
        <v>88765</v>
      </c>
      <c r="E700" s="360">
        <v>88765</v>
      </c>
      <c r="F700" s="360">
        <v>88690</v>
      </c>
      <c r="G700" s="360">
        <v>88107</v>
      </c>
      <c r="H700" s="360">
        <v>87598</v>
      </c>
    </row>
    <row r="701" spans="1:8" x14ac:dyDescent="0.2">
      <c r="A701" s="359" t="s">
        <v>1745</v>
      </c>
      <c r="B701" s="359"/>
      <c r="C701" s="359" t="s">
        <v>1746</v>
      </c>
      <c r="D701" s="360">
        <v>43857</v>
      </c>
      <c r="E701" s="360">
        <v>43857</v>
      </c>
      <c r="F701" s="360">
        <v>43897</v>
      </c>
      <c r="G701" s="360">
        <v>44021</v>
      </c>
      <c r="H701" s="360">
        <v>44072</v>
      </c>
    </row>
    <row r="702" spans="1:8" x14ac:dyDescent="0.2">
      <c r="A702" s="359" t="s">
        <v>1747</v>
      </c>
      <c r="B702" s="359"/>
      <c r="C702" s="359" t="s">
        <v>1748</v>
      </c>
      <c r="D702" s="360">
        <v>107449</v>
      </c>
      <c r="E702" s="360">
        <v>107449</v>
      </c>
      <c r="F702" s="360">
        <v>107484</v>
      </c>
      <c r="G702" s="360">
        <v>107518</v>
      </c>
      <c r="H702" s="360">
        <v>107111</v>
      </c>
    </row>
    <row r="703" spans="1:8" x14ac:dyDescent="0.2">
      <c r="A703" s="359" t="s">
        <v>1749</v>
      </c>
      <c r="B703" s="359"/>
      <c r="C703" s="359" t="s">
        <v>1750</v>
      </c>
      <c r="D703" s="360">
        <v>28743</v>
      </c>
      <c r="E703" s="360">
        <v>28743</v>
      </c>
      <c r="F703" s="360">
        <v>28740</v>
      </c>
      <c r="G703" s="360">
        <v>28492</v>
      </c>
      <c r="H703" s="360">
        <v>28392</v>
      </c>
    </row>
    <row r="704" spans="1:8" x14ac:dyDescent="0.2">
      <c r="A704" s="359" t="s">
        <v>1751</v>
      </c>
      <c r="B704" s="359"/>
      <c r="C704" s="359" t="s">
        <v>1752</v>
      </c>
      <c r="D704" s="360">
        <v>25529</v>
      </c>
      <c r="E704" s="360">
        <v>25529</v>
      </c>
      <c r="F704" s="360">
        <v>25468</v>
      </c>
      <c r="G704" s="360">
        <v>25593</v>
      </c>
      <c r="H704" s="360">
        <v>25621</v>
      </c>
    </row>
    <row r="705" spans="1:8" x14ac:dyDescent="0.2">
      <c r="A705" s="359" t="s">
        <v>1753</v>
      </c>
      <c r="B705" s="359"/>
      <c r="C705" s="359" t="s">
        <v>1754</v>
      </c>
      <c r="D705" s="360">
        <v>31848</v>
      </c>
      <c r="E705" s="360">
        <v>31850</v>
      </c>
      <c r="F705" s="360">
        <v>31856</v>
      </c>
      <c r="G705" s="360">
        <v>31885</v>
      </c>
      <c r="H705" s="360">
        <v>32236</v>
      </c>
    </row>
    <row r="706" spans="1:8" x14ac:dyDescent="0.2">
      <c r="A706" s="359" t="s">
        <v>1755</v>
      </c>
      <c r="B706" s="359"/>
      <c r="C706" s="359" t="s">
        <v>1756</v>
      </c>
      <c r="D706" s="360">
        <v>28691</v>
      </c>
      <c r="E706" s="360">
        <v>28691</v>
      </c>
      <c r="F706" s="360">
        <v>28701</v>
      </c>
      <c r="G706" s="360">
        <v>28677</v>
      </c>
      <c r="H706" s="360">
        <v>28183</v>
      </c>
    </row>
    <row r="707" spans="1:8" x14ac:dyDescent="0.2">
      <c r="A707" s="359" t="s">
        <v>1757</v>
      </c>
      <c r="B707" s="359"/>
      <c r="C707" s="359" t="s">
        <v>1758</v>
      </c>
      <c r="D707" s="360">
        <v>55149</v>
      </c>
      <c r="E707" s="360">
        <v>55151</v>
      </c>
      <c r="F707" s="360">
        <v>55034</v>
      </c>
      <c r="G707" s="360">
        <v>54343</v>
      </c>
      <c r="H707" s="360">
        <v>55363</v>
      </c>
    </row>
    <row r="708" spans="1:8" x14ac:dyDescent="0.2">
      <c r="A708" s="359" t="s">
        <v>1759</v>
      </c>
      <c r="B708" s="359"/>
      <c r="C708" s="359" t="s">
        <v>1760</v>
      </c>
      <c r="D708" s="360">
        <v>28111</v>
      </c>
      <c r="E708" s="360">
        <v>28111</v>
      </c>
      <c r="F708" s="360">
        <v>28085</v>
      </c>
      <c r="G708" s="360">
        <v>28120</v>
      </c>
      <c r="H708" s="360">
        <v>27856</v>
      </c>
    </row>
    <row r="709" spans="1:8" x14ac:dyDescent="0.2">
      <c r="A709" s="359" t="s">
        <v>1761</v>
      </c>
      <c r="B709" s="359"/>
      <c r="C709" s="359" t="s">
        <v>1762</v>
      </c>
      <c r="D709" s="360">
        <v>69540</v>
      </c>
      <c r="E709" s="360">
        <v>69540</v>
      </c>
      <c r="F709" s="360">
        <v>69935</v>
      </c>
      <c r="G709" s="360">
        <v>72284</v>
      </c>
      <c r="H709" s="360">
        <v>73146</v>
      </c>
    </row>
    <row r="710" spans="1:8" x14ac:dyDescent="0.2">
      <c r="A710" s="359" t="s">
        <v>1763</v>
      </c>
      <c r="B710" s="359"/>
      <c r="C710" s="359" t="s">
        <v>1764</v>
      </c>
      <c r="D710" s="360">
        <v>22835</v>
      </c>
      <c r="E710" s="360">
        <v>22835</v>
      </c>
      <c r="F710" s="360">
        <v>22848</v>
      </c>
      <c r="G710" s="360">
        <v>22964</v>
      </c>
      <c r="H710" s="360">
        <v>23146</v>
      </c>
    </row>
    <row r="711" spans="1:8" x14ac:dyDescent="0.2">
      <c r="A711" s="359" t="s">
        <v>1765</v>
      </c>
      <c r="B711" s="359"/>
      <c r="C711" s="359" t="s">
        <v>1766</v>
      </c>
      <c r="D711" s="360">
        <v>25414</v>
      </c>
      <c r="E711" s="360">
        <v>25414</v>
      </c>
      <c r="F711" s="360">
        <v>25431</v>
      </c>
      <c r="G711" s="360">
        <v>25218</v>
      </c>
      <c r="H711" s="360">
        <v>25330</v>
      </c>
    </row>
    <row r="712" spans="1:8" x14ac:dyDescent="0.2">
      <c r="A712" s="359" t="s">
        <v>1767</v>
      </c>
      <c r="B712" s="359"/>
      <c r="C712" s="359" t="s">
        <v>1768</v>
      </c>
      <c r="D712" s="360">
        <v>41276</v>
      </c>
      <c r="E712" s="360">
        <v>41276</v>
      </c>
      <c r="F712" s="360">
        <v>41177</v>
      </c>
      <c r="G712" s="360">
        <v>40877</v>
      </c>
      <c r="H712" s="360">
        <v>40725</v>
      </c>
    </row>
    <row r="713" spans="1:8" x14ac:dyDescent="0.2">
      <c r="A713" s="359" t="s">
        <v>1769</v>
      </c>
      <c r="B713" s="359"/>
      <c r="C713" s="359" t="s">
        <v>1770</v>
      </c>
      <c r="D713" s="360">
        <v>66469</v>
      </c>
      <c r="E713" s="360">
        <v>66469</v>
      </c>
      <c r="F713" s="360">
        <v>66719</v>
      </c>
      <c r="G713" s="360">
        <v>67354</v>
      </c>
      <c r="H713" s="360">
        <v>67632</v>
      </c>
    </row>
    <row r="714" spans="1:8" x14ac:dyDescent="0.2">
      <c r="A714" s="359" t="s">
        <v>1771</v>
      </c>
      <c r="B714" s="359"/>
      <c r="C714" s="359" t="s">
        <v>1772</v>
      </c>
      <c r="D714" s="360">
        <v>54650</v>
      </c>
      <c r="E714" s="360">
        <v>54650</v>
      </c>
      <c r="F714" s="360">
        <v>54591</v>
      </c>
      <c r="G714" s="360">
        <v>54234</v>
      </c>
      <c r="H714" s="360">
        <v>53697</v>
      </c>
    </row>
    <row r="715" spans="1:8" x14ac:dyDescent="0.2">
      <c r="A715" s="359" t="s">
        <v>1773</v>
      </c>
      <c r="B715" s="359"/>
      <c r="C715" s="359" t="s">
        <v>1774</v>
      </c>
      <c r="D715" s="360">
        <v>37244</v>
      </c>
      <c r="E715" s="360">
        <v>37244</v>
      </c>
      <c r="F715" s="360">
        <v>37298</v>
      </c>
      <c r="G715" s="360">
        <v>37882</v>
      </c>
      <c r="H715" s="360">
        <v>38184</v>
      </c>
    </row>
    <row r="716" spans="1:8" x14ac:dyDescent="0.2">
      <c r="A716" s="359" t="s">
        <v>1775</v>
      </c>
      <c r="B716" s="359"/>
      <c r="C716" s="359" t="s">
        <v>1776</v>
      </c>
      <c r="D716" s="360">
        <v>89120</v>
      </c>
      <c r="E716" s="360">
        <v>89120</v>
      </c>
      <c r="F716" s="360">
        <v>89643</v>
      </c>
      <c r="G716" s="360">
        <v>90775</v>
      </c>
      <c r="H716" s="360">
        <v>91723</v>
      </c>
    </row>
    <row r="717" spans="1:8" x14ac:dyDescent="0.2">
      <c r="A717" s="359" t="s">
        <v>1777</v>
      </c>
      <c r="B717" s="359"/>
      <c r="C717" s="359" t="s">
        <v>1778</v>
      </c>
      <c r="D717" s="360">
        <v>45498</v>
      </c>
      <c r="E717" s="360">
        <v>45498</v>
      </c>
      <c r="F717" s="360">
        <v>45674</v>
      </c>
      <c r="G717" s="360">
        <v>45822</v>
      </c>
      <c r="H717" s="360">
        <v>46137</v>
      </c>
    </row>
    <row r="718" spans="1:8" x14ac:dyDescent="0.2">
      <c r="A718" s="359" t="s">
        <v>1779</v>
      </c>
      <c r="B718" s="359"/>
      <c r="C718" s="359" t="s">
        <v>1780</v>
      </c>
      <c r="D718" s="360">
        <v>41513</v>
      </c>
      <c r="E718" s="360">
        <v>41513</v>
      </c>
      <c r="F718" s="360">
        <v>41547</v>
      </c>
      <c r="G718" s="360">
        <v>41261</v>
      </c>
      <c r="H718" s="360">
        <v>41048</v>
      </c>
    </row>
    <row r="719" spans="1:8" x14ac:dyDescent="0.2">
      <c r="A719" s="359" t="s">
        <v>1781</v>
      </c>
      <c r="B719" s="359"/>
      <c r="C719" s="359" t="s">
        <v>1782</v>
      </c>
      <c r="D719" s="360">
        <v>27038</v>
      </c>
      <c r="E719" s="360">
        <v>27038</v>
      </c>
      <c r="F719" s="360">
        <v>27078</v>
      </c>
      <c r="G719" s="360">
        <v>26274</v>
      </c>
      <c r="H719" s="360">
        <v>26223</v>
      </c>
    </row>
    <row r="720" spans="1:8" x14ac:dyDescent="0.2">
      <c r="A720" s="359" t="s">
        <v>1783</v>
      </c>
      <c r="B720" s="359"/>
      <c r="C720" s="359" t="s">
        <v>1784</v>
      </c>
      <c r="D720" s="360">
        <v>73673</v>
      </c>
      <c r="E720" s="360">
        <v>73673</v>
      </c>
      <c r="F720" s="360">
        <v>73682</v>
      </c>
      <c r="G720" s="360">
        <v>73601</v>
      </c>
      <c r="H720" s="360">
        <v>73561</v>
      </c>
    </row>
    <row r="721" spans="1:8" x14ac:dyDescent="0.2">
      <c r="A721" s="359" t="s">
        <v>1785</v>
      </c>
      <c r="B721" s="359"/>
      <c r="C721" s="359" t="s">
        <v>1786</v>
      </c>
      <c r="D721" s="360">
        <v>70311</v>
      </c>
      <c r="E721" s="360">
        <v>70311</v>
      </c>
      <c r="F721" s="360">
        <v>70321</v>
      </c>
      <c r="G721" s="360">
        <v>70636</v>
      </c>
      <c r="H721" s="360">
        <v>70617</v>
      </c>
    </row>
    <row r="722" spans="1:8" x14ac:dyDescent="0.2">
      <c r="A722" s="359" t="s">
        <v>1787</v>
      </c>
      <c r="B722" s="359"/>
      <c r="C722" s="359" t="s">
        <v>1788</v>
      </c>
      <c r="D722" s="360">
        <v>32334</v>
      </c>
      <c r="E722" s="360">
        <v>32334</v>
      </c>
      <c r="F722" s="360">
        <v>32407</v>
      </c>
      <c r="G722" s="360">
        <v>32441</v>
      </c>
      <c r="H722" s="360">
        <v>32663</v>
      </c>
    </row>
    <row r="723" spans="1:8" x14ac:dyDescent="0.2">
      <c r="A723" s="359" t="s">
        <v>1789</v>
      </c>
      <c r="B723" s="359"/>
      <c r="C723" s="359" t="s">
        <v>1790</v>
      </c>
      <c r="D723" s="360">
        <v>44396</v>
      </c>
      <c r="E723" s="360">
        <v>44396</v>
      </c>
      <c r="F723" s="360">
        <v>44466</v>
      </c>
      <c r="G723" s="360">
        <v>44824</v>
      </c>
      <c r="H723" s="360">
        <v>44924</v>
      </c>
    </row>
    <row r="724" spans="1:8" x14ac:dyDescent="0.2">
      <c r="A724" s="359" t="s">
        <v>1791</v>
      </c>
      <c r="B724" s="359"/>
      <c r="C724" s="359" t="s">
        <v>1792</v>
      </c>
      <c r="D724" s="360">
        <v>38827</v>
      </c>
      <c r="E724" s="360">
        <v>38827</v>
      </c>
      <c r="F724" s="360">
        <v>38786</v>
      </c>
      <c r="G724" s="360">
        <v>38786</v>
      </c>
      <c r="H724" s="360">
        <v>38720</v>
      </c>
    </row>
    <row r="725" spans="1:8" x14ac:dyDescent="0.2">
      <c r="A725" s="359" t="s">
        <v>1793</v>
      </c>
      <c r="B725" s="359"/>
      <c r="C725" s="359" t="s">
        <v>1794</v>
      </c>
      <c r="D725" s="360">
        <v>60921</v>
      </c>
      <c r="E725" s="360">
        <v>60930</v>
      </c>
      <c r="F725" s="360">
        <v>61026</v>
      </c>
      <c r="G725" s="360">
        <v>61245</v>
      </c>
      <c r="H725" s="360">
        <v>60705</v>
      </c>
    </row>
    <row r="726" spans="1:8" x14ac:dyDescent="0.2">
      <c r="A726" s="359" t="s">
        <v>1795</v>
      </c>
      <c r="B726" s="359"/>
      <c r="C726" s="359" t="s">
        <v>1796</v>
      </c>
      <c r="D726" s="360">
        <v>37191</v>
      </c>
      <c r="E726" s="360">
        <v>37191</v>
      </c>
      <c r="F726" s="360">
        <v>37278</v>
      </c>
      <c r="G726" s="360">
        <v>37487</v>
      </c>
      <c r="H726" s="360">
        <v>37655</v>
      </c>
    </row>
    <row r="727" spans="1:8" x14ac:dyDescent="0.2">
      <c r="A727" s="359" t="s">
        <v>1797</v>
      </c>
      <c r="B727" s="359"/>
      <c r="C727" s="359" t="s">
        <v>1798</v>
      </c>
      <c r="D727" s="360">
        <v>42745</v>
      </c>
      <c r="E727" s="360">
        <v>42745</v>
      </c>
      <c r="F727" s="360">
        <v>42726</v>
      </c>
      <c r="G727" s="360">
        <v>42744</v>
      </c>
      <c r="H727" s="360">
        <v>42879</v>
      </c>
    </row>
    <row r="728" spans="1:8" x14ac:dyDescent="0.2">
      <c r="A728" s="359" t="s">
        <v>1799</v>
      </c>
      <c r="B728" s="359"/>
      <c r="C728" s="359" t="s">
        <v>1800</v>
      </c>
      <c r="D728" s="360">
        <v>70990</v>
      </c>
      <c r="E728" s="360">
        <v>70988</v>
      </c>
      <c r="F728" s="360">
        <v>71093</v>
      </c>
      <c r="G728" s="360">
        <v>70757</v>
      </c>
      <c r="H728" s="360">
        <v>70596</v>
      </c>
    </row>
    <row r="729" spans="1:8" x14ac:dyDescent="0.2">
      <c r="A729" s="359" t="s">
        <v>1801</v>
      </c>
      <c r="B729" s="359"/>
      <c r="C729" s="359" t="s">
        <v>1802</v>
      </c>
      <c r="D729" s="360">
        <v>64524</v>
      </c>
      <c r="E729" s="360">
        <v>64524</v>
      </c>
      <c r="F729" s="360">
        <v>64618</v>
      </c>
      <c r="G729" s="360">
        <v>65612</v>
      </c>
      <c r="H729" s="360">
        <v>66034</v>
      </c>
    </row>
    <row r="730" spans="1:8" x14ac:dyDescent="0.2">
      <c r="A730" s="359" t="s">
        <v>1803</v>
      </c>
      <c r="B730" s="359"/>
      <c r="C730" s="359" t="s">
        <v>1804</v>
      </c>
      <c r="D730" s="360">
        <v>53119</v>
      </c>
      <c r="E730" s="360">
        <v>53119</v>
      </c>
      <c r="F730" s="360">
        <v>53354</v>
      </c>
      <c r="G730" s="360">
        <v>53154</v>
      </c>
      <c r="H730" s="360">
        <v>52487</v>
      </c>
    </row>
    <row r="731" spans="1:8" x14ac:dyDescent="0.2">
      <c r="A731" s="359" t="s">
        <v>1805</v>
      </c>
      <c r="B731" s="359"/>
      <c r="C731" s="359" t="s">
        <v>1806</v>
      </c>
      <c r="D731" s="360">
        <v>39566</v>
      </c>
      <c r="E731" s="360">
        <v>39566</v>
      </c>
      <c r="F731" s="360">
        <v>39534</v>
      </c>
      <c r="G731" s="360">
        <v>39531</v>
      </c>
      <c r="H731" s="360">
        <v>39436</v>
      </c>
    </row>
    <row r="732" spans="1:8" x14ac:dyDescent="0.2">
      <c r="A732" s="359" t="s">
        <v>1807</v>
      </c>
      <c r="B732" s="359"/>
      <c r="C732" s="359" t="s">
        <v>1808</v>
      </c>
      <c r="D732" s="360">
        <v>37508</v>
      </c>
      <c r="E732" s="360">
        <v>37508</v>
      </c>
      <c r="F732" s="360">
        <v>37534</v>
      </c>
      <c r="G732" s="360">
        <v>37444</v>
      </c>
      <c r="H732" s="360">
        <v>37576</v>
      </c>
    </row>
    <row r="733" spans="1:8" x14ac:dyDescent="0.2">
      <c r="A733" s="359" t="s">
        <v>1809</v>
      </c>
      <c r="B733" s="359"/>
      <c r="C733" s="359" t="s">
        <v>1810</v>
      </c>
      <c r="D733" s="360">
        <v>49462</v>
      </c>
      <c r="E733" s="360">
        <v>49462</v>
      </c>
      <c r="F733" s="360">
        <v>49451</v>
      </c>
      <c r="G733" s="360">
        <v>49386</v>
      </c>
      <c r="H733" s="360">
        <v>49345</v>
      </c>
    </row>
    <row r="734" spans="1:8" x14ac:dyDescent="0.2">
      <c r="A734" s="359" t="s">
        <v>1811</v>
      </c>
      <c r="B734" s="359"/>
      <c r="C734" s="359" t="s">
        <v>1812</v>
      </c>
      <c r="D734" s="360">
        <v>91108</v>
      </c>
      <c r="E734" s="360">
        <v>91108</v>
      </c>
      <c r="F734" s="360">
        <v>90964</v>
      </c>
      <c r="G734" s="360">
        <v>90399</v>
      </c>
      <c r="H734" s="360">
        <v>89871</v>
      </c>
    </row>
    <row r="735" spans="1:8" x14ac:dyDescent="0.2">
      <c r="A735" s="359" t="s">
        <v>1813</v>
      </c>
      <c r="B735" s="359"/>
      <c r="C735" s="359" t="s">
        <v>1814</v>
      </c>
      <c r="D735" s="360">
        <v>92582</v>
      </c>
      <c r="E735" s="360">
        <v>92582</v>
      </c>
      <c r="F735" s="360">
        <v>92565</v>
      </c>
      <c r="G735" s="360">
        <v>92485</v>
      </c>
      <c r="H735" s="360">
        <v>92392</v>
      </c>
    </row>
    <row r="736" spans="1:8" x14ac:dyDescent="0.2">
      <c r="A736" s="359" t="s">
        <v>1815</v>
      </c>
      <c r="B736" s="359"/>
      <c r="C736" s="359" t="s">
        <v>1816</v>
      </c>
      <c r="D736" s="360">
        <v>46034</v>
      </c>
      <c r="E736" s="360">
        <v>46032</v>
      </c>
      <c r="F736" s="360">
        <v>46022</v>
      </c>
      <c r="G736" s="360">
        <v>45885</v>
      </c>
      <c r="H736" s="360">
        <v>46151</v>
      </c>
    </row>
    <row r="737" spans="1:8" x14ac:dyDescent="0.2">
      <c r="A737" s="359" t="s">
        <v>1817</v>
      </c>
      <c r="B737" s="359"/>
      <c r="C737" s="359" t="s">
        <v>1818</v>
      </c>
      <c r="D737" s="360">
        <v>35662</v>
      </c>
      <c r="E737" s="360">
        <v>35662</v>
      </c>
      <c r="F737" s="360">
        <v>35631</v>
      </c>
      <c r="G737" s="360">
        <v>35477</v>
      </c>
      <c r="H737" s="360">
        <v>35571</v>
      </c>
    </row>
    <row r="738" spans="1:8" x14ac:dyDescent="0.2">
      <c r="A738" s="359" t="s">
        <v>1819</v>
      </c>
      <c r="B738" s="359"/>
      <c r="C738" s="359" t="s">
        <v>1820</v>
      </c>
      <c r="D738" s="360">
        <v>36842</v>
      </c>
      <c r="E738" s="360">
        <v>36842</v>
      </c>
      <c r="F738" s="360">
        <v>36819</v>
      </c>
      <c r="G738" s="360">
        <v>36706</v>
      </c>
      <c r="H738" s="360">
        <v>36602</v>
      </c>
    </row>
    <row r="739" spans="1:8" x14ac:dyDescent="0.2">
      <c r="A739" s="359" t="s">
        <v>1821</v>
      </c>
      <c r="B739" s="359"/>
      <c r="C739" s="359" t="s">
        <v>1822</v>
      </c>
      <c r="D739" s="360">
        <v>25893</v>
      </c>
      <c r="E739" s="360">
        <v>25893</v>
      </c>
      <c r="F739" s="360">
        <v>25867</v>
      </c>
      <c r="G739" s="360">
        <v>25686</v>
      </c>
      <c r="H739" s="360">
        <v>25425</v>
      </c>
    </row>
    <row r="740" spans="1:8" x14ac:dyDescent="0.2">
      <c r="A740" s="359" t="s">
        <v>1823</v>
      </c>
      <c r="B740" s="359"/>
      <c r="C740" s="359" t="s">
        <v>1824</v>
      </c>
      <c r="D740" s="360">
        <v>47420</v>
      </c>
      <c r="E740" s="360">
        <v>47420</v>
      </c>
      <c r="F740" s="360">
        <v>47380</v>
      </c>
      <c r="G740" s="360">
        <v>47448</v>
      </c>
      <c r="H740" s="360">
        <v>47303</v>
      </c>
    </row>
    <row r="741" spans="1:8" x14ac:dyDescent="0.2">
      <c r="A741" s="359" t="s">
        <v>1825</v>
      </c>
      <c r="B741" s="359"/>
      <c r="C741" s="359" t="s">
        <v>1826</v>
      </c>
      <c r="D741" s="360">
        <v>48271</v>
      </c>
      <c r="E741" s="360">
        <v>48271</v>
      </c>
      <c r="F741" s="360">
        <v>48298</v>
      </c>
      <c r="G741" s="360">
        <v>48319</v>
      </c>
      <c r="H741" s="360">
        <v>48286</v>
      </c>
    </row>
    <row r="742" spans="1:8" x14ac:dyDescent="0.2">
      <c r="A742" s="359" t="s">
        <v>1827</v>
      </c>
      <c r="B742" s="359"/>
      <c r="C742" s="359" t="s">
        <v>1828</v>
      </c>
      <c r="D742" s="360">
        <v>37590</v>
      </c>
      <c r="E742" s="360">
        <v>37590</v>
      </c>
      <c r="F742" s="360">
        <v>37576</v>
      </c>
      <c r="G742" s="360">
        <v>37427</v>
      </c>
      <c r="H742" s="360">
        <v>37373</v>
      </c>
    </row>
    <row r="743" spans="1:8" x14ac:dyDescent="0.2">
      <c r="A743" s="359" t="s">
        <v>1829</v>
      </c>
      <c r="B743" s="359"/>
      <c r="C743" s="359" t="s">
        <v>1830</v>
      </c>
      <c r="D743" s="360">
        <v>28525</v>
      </c>
      <c r="E743" s="360">
        <v>28525</v>
      </c>
      <c r="F743" s="360">
        <v>28478</v>
      </c>
      <c r="G743" s="360">
        <v>28199</v>
      </c>
      <c r="H743" s="360">
        <v>28161</v>
      </c>
    </row>
    <row r="744" spans="1:8" x14ac:dyDescent="0.2">
      <c r="A744" s="359" t="s">
        <v>1831</v>
      </c>
      <c r="B744" s="359"/>
      <c r="C744" s="359" t="s">
        <v>1832</v>
      </c>
      <c r="D744" s="360">
        <v>69340</v>
      </c>
      <c r="E744" s="360">
        <v>69340</v>
      </c>
      <c r="F744" s="360">
        <v>69220</v>
      </c>
      <c r="G744" s="360">
        <v>69225</v>
      </c>
      <c r="H744" s="360">
        <v>69306</v>
      </c>
    </row>
    <row r="745" spans="1:8" x14ac:dyDescent="0.2">
      <c r="A745" s="359" t="s">
        <v>1833</v>
      </c>
      <c r="B745" s="359"/>
      <c r="C745" s="359" t="s">
        <v>1834</v>
      </c>
      <c r="D745" s="360">
        <v>59626</v>
      </c>
      <c r="E745" s="360">
        <v>59626</v>
      </c>
      <c r="F745" s="360">
        <v>59596</v>
      </c>
      <c r="G745" s="360">
        <v>59388</v>
      </c>
      <c r="H745" s="360">
        <v>59280</v>
      </c>
    </row>
    <row r="746" spans="1:8" x14ac:dyDescent="0.2">
      <c r="A746" s="359" t="s">
        <v>1835</v>
      </c>
      <c r="B746" s="359"/>
      <c r="C746" s="359" t="s">
        <v>1836</v>
      </c>
      <c r="D746" s="360">
        <v>78506</v>
      </c>
      <c r="E746" s="360">
        <v>78506</v>
      </c>
      <c r="F746" s="360">
        <v>78701</v>
      </c>
      <c r="G746" s="360">
        <v>79033</v>
      </c>
      <c r="H746" s="360">
        <v>79177</v>
      </c>
    </row>
    <row r="747" spans="1:8" x14ac:dyDescent="0.2">
      <c r="A747" s="359" t="s">
        <v>1837</v>
      </c>
      <c r="B747" s="359"/>
      <c r="C747" s="359" t="s">
        <v>1838</v>
      </c>
      <c r="D747" s="360">
        <v>111944</v>
      </c>
      <c r="E747" s="360">
        <v>111944</v>
      </c>
      <c r="F747" s="360">
        <v>111886</v>
      </c>
      <c r="G747" s="360">
        <v>112331</v>
      </c>
      <c r="H747" s="360">
        <v>112232</v>
      </c>
    </row>
    <row r="748" spans="1:8" x14ac:dyDescent="0.2">
      <c r="A748" s="359" t="s">
        <v>1839</v>
      </c>
      <c r="B748" s="359"/>
      <c r="C748" s="359" t="s">
        <v>1840</v>
      </c>
      <c r="D748" s="360">
        <v>54984</v>
      </c>
      <c r="E748" s="360">
        <v>54984</v>
      </c>
      <c r="F748" s="360">
        <v>54940</v>
      </c>
      <c r="G748" s="360">
        <v>54709</v>
      </c>
      <c r="H748" s="360">
        <v>54272</v>
      </c>
    </row>
    <row r="749" spans="1:8" x14ac:dyDescent="0.2">
      <c r="A749" s="359" t="s">
        <v>1841</v>
      </c>
      <c r="B749" s="359"/>
      <c r="C749" s="359" t="s">
        <v>1842</v>
      </c>
      <c r="D749" s="360">
        <v>39996</v>
      </c>
      <c r="E749" s="360">
        <v>39996</v>
      </c>
      <c r="F749" s="360">
        <v>40009</v>
      </c>
      <c r="G749" s="360">
        <v>39551</v>
      </c>
      <c r="H749" s="360">
        <v>39467</v>
      </c>
    </row>
    <row r="750" spans="1:8" x14ac:dyDescent="0.2">
      <c r="A750" s="359" t="s">
        <v>1843</v>
      </c>
      <c r="B750" s="359"/>
      <c r="C750" s="359" t="s">
        <v>1844</v>
      </c>
      <c r="D750" s="360">
        <v>80317</v>
      </c>
      <c r="E750" s="360">
        <v>80317</v>
      </c>
      <c r="F750" s="360">
        <v>80254</v>
      </c>
      <c r="G750" s="360">
        <v>79866</v>
      </c>
      <c r="H750" s="360">
        <v>79458</v>
      </c>
    </row>
    <row r="751" spans="1:8" x14ac:dyDescent="0.2">
      <c r="A751" s="359" t="s">
        <v>1845</v>
      </c>
      <c r="B751" s="359"/>
      <c r="C751" s="359" t="s">
        <v>1846</v>
      </c>
      <c r="D751" s="360">
        <v>62259</v>
      </c>
      <c r="E751" s="360">
        <v>62253</v>
      </c>
      <c r="F751" s="360">
        <v>62203</v>
      </c>
      <c r="G751" s="360">
        <v>61982</v>
      </c>
      <c r="H751" s="360">
        <v>61709</v>
      </c>
    </row>
    <row r="752" spans="1:8" x14ac:dyDescent="0.2">
      <c r="A752" s="359" t="s">
        <v>1847</v>
      </c>
      <c r="B752" s="359"/>
      <c r="C752" s="359" t="s">
        <v>1848</v>
      </c>
      <c r="D752" s="360">
        <v>53936</v>
      </c>
      <c r="E752" s="360">
        <v>53935</v>
      </c>
      <c r="F752" s="360">
        <v>53954</v>
      </c>
      <c r="G752" s="360">
        <v>53271</v>
      </c>
      <c r="H752" s="360">
        <v>53269</v>
      </c>
    </row>
    <row r="753" spans="1:8" x14ac:dyDescent="0.2">
      <c r="A753" s="359" t="s">
        <v>1849</v>
      </c>
      <c r="B753" s="359"/>
      <c r="C753" s="359" t="s">
        <v>1850</v>
      </c>
      <c r="D753" s="360">
        <v>83384</v>
      </c>
      <c r="E753" s="360">
        <v>83384</v>
      </c>
      <c r="F753" s="360">
        <v>83470</v>
      </c>
      <c r="G753" s="360">
        <v>83488</v>
      </c>
      <c r="H753" s="360">
        <v>83662</v>
      </c>
    </row>
    <row r="754" spans="1:8" x14ac:dyDescent="0.2">
      <c r="A754" s="359" t="s">
        <v>1851</v>
      </c>
      <c r="B754" s="359"/>
      <c r="C754" s="359" t="s">
        <v>1852</v>
      </c>
      <c r="D754" s="360">
        <v>92501</v>
      </c>
      <c r="E754" s="360">
        <v>92494</v>
      </c>
      <c r="F754" s="360">
        <v>92300</v>
      </c>
      <c r="G754" s="360">
        <v>91729</v>
      </c>
      <c r="H754" s="360">
        <v>91476</v>
      </c>
    </row>
    <row r="755" spans="1:8" x14ac:dyDescent="0.2">
      <c r="A755" s="359" t="s">
        <v>1853</v>
      </c>
      <c r="B755" s="359"/>
      <c r="C755" s="359" t="s">
        <v>1854</v>
      </c>
      <c r="D755" s="360">
        <v>22381</v>
      </c>
      <c r="E755" s="360">
        <v>22381</v>
      </c>
      <c r="F755" s="360">
        <v>22384</v>
      </c>
      <c r="G755" s="360">
        <v>22484</v>
      </c>
      <c r="H755" s="360">
        <v>22443</v>
      </c>
    </row>
    <row r="756" spans="1:8" x14ac:dyDescent="0.2">
      <c r="A756" s="359" t="s">
        <v>1855</v>
      </c>
      <c r="B756" s="359"/>
      <c r="C756" s="359" t="s">
        <v>1856</v>
      </c>
      <c r="D756" s="360">
        <v>18728</v>
      </c>
      <c r="E756" s="360">
        <v>18728</v>
      </c>
      <c r="F756" s="360">
        <v>18802</v>
      </c>
      <c r="G756" s="360">
        <v>18882</v>
      </c>
      <c r="H756" s="360">
        <v>19005</v>
      </c>
    </row>
    <row r="757" spans="1:8" x14ac:dyDescent="0.2">
      <c r="A757" s="359" t="s">
        <v>1857</v>
      </c>
      <c r="B757" s="359"/>
      <c r="C757" s="359" t="s">
        <v>1858</v>
      </c>
      <c r="D757" s="360">
        <v>25992</v>
      </c>
      <c r="E757" s="360">
        <v>25996</v>
      </c>
      <c r="F757" s="360">
        <v>26021</v>
      </c>
      <c r="G757" s="360">
        <v>25931</v>
      </c>
      <c r="H757" s="360">
        <v>25906</v>
      </c>
    </row>
    <row r="758" spans="1:8" x14ac:dyDescent="0.2">
      <c r="A758" s="359" t="s">
        <v>1859</v>
      </c>
      <c r="B758" s="359"/>
      <c r="C758" s="359" t="s">
        <v>1860</v>
      </c>
      <c r="D758" s="360">
        <v>154908</v>
      </c>
      <c r="E758" s="360">
        <v>154908</v>
      </c>
      <c r="F758" s="360">
        <v>154704</v>
      </c>
      <c r="G758" s="360">
        <v>154092</v>
      </c>
      <c r="H758" s="360">
        <v>153182</v>
      </c>
    </row>
    <row r="759" spans="1:8" x14ac:dyDescent="0.2">
      <c r="A759" s="359" t="s">
        <v>1861</v>
      </c>
      <c r="B759" s="359"/>
      <c r="C759" s="359" t="s">
        <v>1862</v>
      </c>
      <c r="D759" s="360">
        <v>44378</v>
      </c>
      <c r="E759" s="360">
        <v>44378</v>
      </c>
      <c r="F759" s="360">
        <v>44394</v>
      </c>
      <c r="G759" s="360">
        <v>44149</v>
      </c>
      <c r="H759" s="360">
        <v>44055</v>
      </c>
    </row>
    <row r="760" spans="1:8" x14ac:dyDescent="0.2">
      <c r="A760" s="359" t="s">
        <v>1863</v>
      </c>
      <c r="B760" s="359"/>
      <c r="C760" s="359" t="s">
        <v>1864</v>
      </c>
      <c r="D760" s="360">
        <v>36576</v>
      </c>
      <c r="E760" s="360">
        <v>36576</v>
      </c>
      <c r="F760" s="360">
        <v>36514</v>
      </c>
      <c r="G760" s="360">
        <v>36541</v>
      </c>
      <c r="H760" s="360">
        <v>36322</v>
      </c>
    </row>
    <row r="761" spans="1:8" x14ac:dyDescent="0.2">
      <c r="A761" s="359" t="s">
        <v>1865</v>
      </c>
      <c r="B761" s="359"/>
      <c r="C761" s="359" t="s">
        <v>1866</v>
      </c>
      <c r="D761" s="360">
        <v>70648</v>
      </c>
      <c r="E761" s="360">
        <v>70648</v>
      </c>
      <c r="F761" s="360">
        <v>70610</v>
      </c>
      <c r="G761" s="360">
        <v>69934</v>
      </c>
      <c r="H761" s="360">
        <v>69232</v>
      </c>
    </row>
    <row r="762" spans="1:8" x14ac:dyDescent="0.2">
      <c r="A762" s="359" t="s">
        <v>1867</v>
      </c>
      <c r="B762" s="359"/>
      <c r="C762" s="359" t="s">
        <v>1868</v>
      </c>
      <c r="D762" s="360">
        <v>47351</v>
      </c>
      <c r="E762" s="360">
        <v>47357</v>
      </c>
      <c r="F762" s="360">
        <v>47514</v>
      </c>
      <c r="G762" s="360">
        <v>48430</v>
      </c>
      <c r="H762" s="360">
        <v>49495</v>
      </c>
    </row>
    <row r="763" spans="1:8" x14ac:dyDescent="0.2">
      <c r="A763" s="359" t="s">
        <v>1869</v>
      </c>
      <c r="B763" s="359"/>
      <c r="C763" s="359" t="s">
        <v>1870</v>
      </c>
      <c r="D763" s="360">
        <v>59916</v>
      </c>
      <c r="E763" s="360">
        <v>59919</v>
      </c>
      <c r="F763" s="360">
        <v>60015</v>
      </c>
      <c r="G763" s="360">
        <v>60114</v>
      </c>
      <c r="H763" s="360">
        <v>60436</v>
      </c>
    </row>
    <row r="764" spans="1:8" x14ac:dyDescent="0.2">
      <c r="A764" s="359" t="s">
        <v>1871</v>
      </c>
      <c r="B764" s="359"/>
      <c r="C764" s="359" t="s">
        <v>1872</v>
      </c>
      <c r="D764" s="360">
        <v>50251</v>
      </c>
      <c r="E764" s="360">
        <v>50251</v>
      </c>
      <c r="F764" s="360">
        <v>50333</v>
      </c>
      <c r="G764" s="360">
        <v>50141</v>
      </c>
      <c r="H764" s="360">
        <v>50444</v>
      </c>
    </row>
    <row r="765" spans="1:8" x14ac:dyDescent="0.2">
      <c r="A765" s="359" t="s">
        <v>1873</v>
      </c>
      <c r="B765" s="359"/>
      <c r="C765" s="359" t="s">
        <v>1874</v>
      </c>
      <c r="D765" s="360">
        <v>98762</v>
      </c>
      <c r="E765" s="360">
        <v>98762</v>
      </c>
      <c r="F765" s="360">
        <v>98738</v>
      </c>
      <c r="G765" s="360">
        <v>98912</v>
      </c>
      <c r="H765" s="360">
        <v>98539</v>
      </c>
    </row>
    <row r="766" spans="1:8" x14ac:dyDescent="0.2">
      <c r="A766" s="359" t="s">
        <v>1875</v>
      </c>
      <c r="B766" s="359"/>
      <c r="C766" s="359" t="s">
        <v>1876</v>
      </c>
      <c r="D766" s="360">
        <v>43946</v>
      </c>
      <c r="E766" s="360">
        <v>43946</v>
      </c>
      <c r="F766" s="360">
        <v>43882</v>
      </c>
      <c r="G766" s="360">
        <v>43347</v>
      </c>
      <c r="H766" s="360">
        <v>42963</v>
      </c>
    </row>
    <row r="767" spans="1:8" x14ac:dyDescent="0.2">
      <c r="A767" s="359" t="s">
        <v>1877</v>
      </c>
      <c r="B767" s="359"/>
      <c r="C767" s="359" t="s">
        <v>1878</v>
      </c>
      <c r="D767" s="360">
        <v>74364</v>
      </c>
      <c r="E767" s="360">
        <v>74364</v>
      </c>
      <c r="F767" s="360">
        <v>74279</v>
      </c>
      <c r="G767" s="360">
        <v>74031</v>
      </c>
      <c r="H767" s="360">
        <v>73263</v>
      </c>
    </row>
    <row r="768" spans="1:8" x14ac:dyDescent="0.2">
      <c r="A768" s="359" t="s">
        <v>1879</v>
      </c>
      <c r="B768" s="359"/>
      <c r="C768" s="359" t="s">
        <v>1880</v>
      </c>
      <c r="D768" s="360">
        <v>58458</v>
      </c>
      <c r="E768" s="360">
        <v>58458</v>
      </c>
      <c r="F768" s="360">
        <v>58428</v>
      </c>
      <c r="G768" s="360">
        <v>58356</v>
      </c>
      <c r="H768" s="360">
        <v>58190</v>
      </c>
    </row>
    <row r="769" spans="1:8" x14ac:dyDescent="0.2">
      <c r="A769" s="359" t="s">
        <v>1881</v>
      </c>
      <c r="B769" s="359"/>
      <c r="C769" s="359" t="s">
        <v>1882</v>
      </c>
      <c r="D769" s="360">
        <v>22535</v>
      </c>
      <c r="E769" s="360">
        <v>22535</v>
      </c>
      <c r="F769" s="360">
        <v>22453</v>
      </c>
      <c r="G769" s="360">
        <v>22733</v>
      </c>
      <c r="H769" s="360">
        <v>22978</v>
      </c>
    </row>
    <row r="770" spans="1:8" x14ac:dyDescent="0.2">
      <c r="A770" s="359" t="s">
        <v>1883</v>
      </c>
      <c r="B770" s="359"/>
      <c r="C770" s="359" t="s">
        <v>1884</v>
      </c>
      <c r="D770" s="360">
        <v>42090</v>
      </c>
      <c r="E770" s="360">
        <v>42090</v>
      </c>
      <c r="F770" s="360">
        <v>42195</v>
      </c>
      <c r="G770" s="360">
        <v>42752</v>
      </c>
      <c r="H770" s="360">
        <v>43163</v>
      </c>
    </row>
    <row r="771" spans="1:8" x14ac:dyDescent="0.2">
      <c r="A771" s="359" t="s">
        <v>1885</v>
      </c>
      <c r="B771" s="359"/>
      <c r="C771" s="359" t="s">
        <v>1886</v>
      </c>
      <c r="D771" s="360">
        <v>32330</v>
      </c>
      <c r="E771" s="360">
        <v>32330</v>
      </c>
      <c r="F771" s="360">
        <v>32348</v>
      </c>
      <c r="G771" s="360">
        <v>32328</v>
      </c>
      <c r="H771" s="360">
        <v>32341</v>
      </c>
    </row>
    <row r="772" spans="1:8" x14ac:dyDescent="0.2">
      <c r="A772" s="359" t="s">
        <v>1887</v>
      </c>
      <c r="B772" s="359"/>
      <c r="C772" s="359" t="s">
        <v>1888</v>
      </c>
      <c r="D772" s="360">
        <v>49793</v>
      </c>
      <c r="E772" s="360">
        <v>49789</v>
      </c>
      <c r="F772" s="360">
        <v>49833</v>
      </c>
      <c r="G772" s="360">
        <v>49987</v>
      </c>
      <c r="H772" s="360">
        <v>49811</v>
      </c>
    </row>
    <row r="773" spans="1:8" x14ac:dyDescent="0.2">
      <c r="A773" s="359" t="s">
        <v>1889</v>
      </c>
      <c r="B773" s="359"/>
      <c r="C773" s="359" t="s">
        <v>1890</v>
      </c>
      <c r="D773" s="360">
        <v>21607</v>
      </c>
      <c r="E773" s="360">
        <v>21607</v>
      </c>
      <c r="F773" s="360">
        <v>21560</v>
      </c>
      <c r="G773" s="360">
        <v>21482</v>
      </c>
      <c r="H773" s="360">
        <v>21284</v>
      </c>
    </row>
    <row r="774" spans="1:8" x14ac:dyDescent="0.2">
      <c r="A774" s="359" t="s">
        <v>1891</v>
      </c>
      <c r="B774" s="359"/>
      <c r="C774" s="359" t="s">
        <v>1892</v>
      </c>
      <c r="D774" s="360">
        <v>53597</v>
      </c>
      <c r="E774" s="360">
        <v>53597</v>
      </c>
      <c r="F774" s="360">
        <v>53544</v>
      </c>
      <c r="G774" s="360">
        <v>53495</v>
      </c>
      <c r="H774" s="360">
        <v>53144</v>
      </c>
    </row>
    <row r="775" spans="1:8" x14ac:dyDescent="0.2">
      <c r="A775" s="359" t="s">
        <v>1893</v>
      </c>
      <c r="B775" s="359"/>
      <c r="C775" s="359" t="s">
        <v>1894</v>
      </c>
      <c r="D775" s="360">
        <v>13783</v>
      </c>
      <c r="E775" s="360">
        <v>13783</v>
      </c>
      <c r="F775" s="360">
        <v>13787</v>
      </c>
      <c r="G775" s="360">
        <v>13684</v>
      </c>
      <c r="H775" s="360">
        <v>13798</v>
      </c>
    </row>
    <row r="776" spans="1:8" x14ac:dyDescent="0.2">
      <c r="A776" s="359" t="s">
        <v>1895</v>
      </c>
      <c r="B776" s="359"/>
      <c r="C776" s="359" t="s">
        <v>1896</v>
      </c>
      <c r="D776" s="360">
        <v>36903</v>
      </c>
      <c r="E776" s="360">
        <v>36903</v>
      </c>
      <c r="F776" s="360">
        <v>36781</v>
      </c>
      <c r="G776" s="360">
        <v>36575</v>
      </c>
      <c r="H776" s="360">
        <v>36486</v>
      </c>
    </row>
    <row r="777" spans="1:8" x14ac:dyDescent="0.2">
      <c r="A777" s="359" t="s">
        <v>1897</v>
      </c>
      <c r="B777" s="359"/>
      <c r="C777" s="359" t="s">
        <v>1898</v>
      </c>
      <c r="D777" s="360">
        <v>55834</v>
      </c>
      <c r="E777" s="360">
        <v>55834</v>
      </c>
      <c r="F777" s="360">
        <v>55818</v>
      </c>
      <c r="G777" s="360">
        <v>55696</v>
      </c>
      <c r="H777" s="360">
        <v>55295</v>
      </c>
    </row>
    <row r="778" spans="1:8" x14ac:dyDescent="0.2">
      <c r="A778" s="359" t="s">
        <v>1899</v>
      </c>
      <c r="B778" s="359"/>
      <c r="C778" s="359" t="s">
        <v>1900</v>
      </c>
      <c r="D778" s="360">
        <v>21361</v>
      </c>
      <c r="E778" s="360">
        <v>21361</v>
      </c>
      <c r="F778" s="360">
        <v>21404</v>
      </c>
      <c r="G778" s="360">
        <v>21619</v>
      </c>
      <c r="H778" s="360">
        <v>21846</v>
      </c>
    </row>
    <row r="779" spans="1:8" x14ac:dyDescent="0.2">
      <c r="A779" s="359" t="s">
        <v>1901</v>
      </c>
      <c r="B779" s="359"/>
      <c r="C779" s="359" t="s">
        <v>1902</v>
      </c>
      <c r="D779" s="360">
        <v>88247</v>
      </c>
      <c r="E779" s="360">
        <v>88247</v>
      </c>
      <c r="F779" s="360">
        <v>88544</v>
      </c>
      <c r="G779" s="360">
        <v>89359</v>
      </c>
      <c r="H779" s="360">
        <v>90302</v>
      </c>
    </row>
    <row r="780" spans="1:8" x14ac:dyDescent="0.2">
      <c r="A780" s="359" t="s">
        <v>1903</v>
      </c>
      <c r="B780" s="359"/>
      <c r="C780" s="359" t="s">
        <v>1904</v>
      </c>
      <c r="D780" s="360">
        <v>39134</v>
      </c>
      <c r="E780" s="360">
        <v>39134</v>
      </c>
      <c r="F780" s="360">
        <v>39170</v>
      </c>
      <c r="G780" s="360">
        <v>39172</v>
      </c>
      <c r="H780" s="360">
        <v>39361</v>
      </c>
    </row>
    <row r="781" spans="1:8" x14ac:dyDescent="0.2">
      <c r="A781" s="359" t="s">
        <v>1905</v>
      </c>
      <c r="B781" s="359"/>
      <c r="C781" s="359" t="s">
        <v>1906</v>
      </c>
      <c r="D781" s="360">
        <v>36273</v>
      </c>
      <c r="E781" s="360">
        <v>36273</v>
      </c>
      <c r="F781" s="360">
        <v>36356</v>
      </c>
      <c r="G781" s="360">
        <v>36437</v>
      </c>
      <c r="H781" s="360">
        <v>36385</v>
      </c>
    </row>
    <row r="782" spans="1:8" x14ac:dyDescent="0.2">
      <c r="A782" s="359" t="s">
        <v>1907</v>
      </c>
      <c r="B782" s="359"/>
      <c r="C782" s="359" t="s">
        <v>1908</v>
      </c>
      <c r="D782" s="360">
        <v>51208</v>
      </c>
      <c r="E782" s="360">
        <v>51208</v>
      </c>
      <c r="F782" s="360">
        <v>51171</v>
      </c>
      <c r="G782" s="360">
        <v>51265</v>
      </c>
      <c r="H782" s="360">
        <v>51087</v>
      </c>
    </row>
    <row r="783" spans="1:8" x14ac:dyDescent="0.2">
      <c r="A783" s="359" t="s">
        <v>1909</v>
      </c>
      <c r="B783" s="359"/>
      <c r="C783" s="359" t="s">
        <v>1910</v>
      </c>
      <c r="D783" s="360">
        <v>82128</v>
      </c>
      <c r="E783" s="360">
        <v>82128</v>
      </c>
      <c r="F783" s="360">
        <v>82118</v>
      </c>
      <c r="G783" s="360">
        <v>81815</v>
      </c>
      <c r="H783" s="360">
        <v>81654</v>
      </c>
    </row>
    <row r="784" spans="1:8" x14ac:dyDescent="0.2">
      <c r="A784" s="359" t="s">
        <v>1911</v>
      </c>
      <c r="B784" s="359"/>
      <c r="C784" s="359" t="s">
        <v>1912</v>
      </c>
      <c r="D784" s="360">
        <v>47051</v>
      </c>
      <c r="E784" s="360">
        <v>47051</v>
      </c>
      <c r="F784" s="360">
        <v>47017</v>
      </c>
      <c r="G784" s="360">
        <v>47044</v>
      </c>
      <c r="H784" s="360">
        <v>47024</v>
      </c>
    </row>
    <row r="785" spans="1:8" x14ac:dyDescent="0.2">
      <c r="A785" s="359" t="s">
        <v>1913</v>
      </c>
      <c r="B785" s="359"/>
      <c r="C785" s="359" t="s">
        <v>1914</v>
      </c>
      <c r="D785" s="360">
        <v>58258</v>
      </c>
      <c r="E785" s="360">
        <v>58258</v>
      </c>
      <c r="F785" s="360">
        <v>58282</v>
      </c>
      <c r="G785" s="360">
        <v>58169</v>
      </c>
      <c r="H785" s="360">
        <v>57887</v>
      </c>
    </row>
    <row r="786" spans="1:8" x14ac:dyDescent="0.2">
      <c r="A786" s="359" t="s">
        <v>1915</v>
      </c>
      <c r="B786" s="359"/>
      <c r="C786" s="359" t="s">
        <v>1916</v>
      </c>
      <c r="D786" s="360">
        <v>46562</v>
      </c>
      <c r="E786" s="360">
        <v>46562</v>
      </c>
      <c r="F786" s="360">
        <v>46433</v>
      </c>
      <c r="G786" s="360">
        <v>45952</v>
      </c>
      <c r="H786" s="360">
        <v>45831</v>
      </c>
    </row>
    <row r="787" spans="1:8" x14ac:dyDescent="0.2">
      <c r="A787" s="359" t="s">
        <v>1917</v>
      </c>
      <c r="B787" s="359"/>
      <c r="C787" s="359" t="s">
        <v>1918</v>
      </c>
      <c r="D787" s="360">
        <v>38950</v>
      </c>
      <c r="E787" s="360">
        <v>38950</v>
      </c>
      <c r="F787" s="360">
        <v>38863</v>
      </c>
      <c r="G787" s="360">
        <v>38878</v>
      </c>
      <c r="H787" s="360">
        <v>38647</v>
      </c>
    </row>
    <row r="788" spans="1:8" x14ac:dyDescent="0.2">
      <c r="A788" s="359" t="s">
        <v>1919</v>
      </c>
      <c r="B788" s="359"/>
      <c r="C788" s="359" t="s">
        <v>1920</v>
      </c>
      <c r="D788" s="360">
        <v>42794</v>
      </c>
      <c r="E788" s="360">
        <v>42794</v>
      </c>
      <c r="F788" s="360">
        <v>42820</v>
      </c>
      <c r="G788" s="360">
        <v>43055</v>
      </c>
      <c r="H788" s="360">
        <v>43053</v>
      </c>
    </row>
    <row r="789" spans="1:8" x14ac:dyDescent="0.2">
      <c r="A789" s="359" t="s">
        <v>1921</v>
      </c>
      <c r="B789" s="359"/>
      <c r="C789" s="359" t="s">
        <v>1922</v>
      </c>
      <c r="D789" s="360">
        <v>19846</v>
      </c>
      <c r="E789" s="360">
        <v>19846</v>
      </c>
      <c r="F789" s="360">
        <v>20013</v>
      </c>
      <c r="G789" s="360">
        <v>20501</v>
      </c>
      <c r="H789" s="360">
        <v>20419</v>
      </c>
    </row>
    <row r="790" spans="1:8" x14ac:dyDescent="0.2">
      <c r="A790" s="359" t="s">
        <v>1923</v>
      </c>
      <c r="B790" s="359"/>
      <c r="C790" s="359" t="s">
        <v>1924</v>
      </c>
      <c r="D790" s="360">
        <v>71404</v>
      </c>
      <c r="E790" s="360">
        <v>71404</v>
      </c>
      <c r="F790" s="360">
        <v>71533</v>
      </c>
      <c r="G790" s="360">
        <v>71814</v>
      </c>
      <c r="H790" s="360">
        <v>71863</v>
      </c>
    </row>
    <row r="791" spans="1:8" x14ac:dyDescent="0.2">
      <c r="A791" s="359" t="s">
        <v>1925</v>
      </c>
      <c r="B791" s="359"/>
      <c r="C791" s="359" t="s">
        <v>1926</v>
      </c>
      <c r="D791" s="360">
        <v>41428</v>
      </c>
      <c r="E791" s="360">
        <v>41428</v>
      </c>
      <c r="F791" s="360">
        <v>41397</v>
      </c>
      <c r="G791" s="360">
        <v>41435</v>
      </c>
      <c r="H791" s="360">
        <v>41339</v>
      </c>
    </row>
    <row r="792" spans="1:8" x14ac:dyDescent="0.2">
      <c r="A792" s="359" t="s">
        <v>1927</v>
      </c>
      <c r="B792" s="359"/>
      <c r="C792" s="359" t="s">
        <v>1928</v>
      </c>
      <c r="D792" s="360">
        <v>21381</v>
      </c>
      <c r="E792" s="360">
        <v>21381</v>
      </c>
      <c r="F792" s="360">
        <v>21335</v>
      </c>
      <c r="G792" s="360">
        <v>21370</v>
      </c>
      <c r="H792" s="360">
        <v>21609</v>
      </c>
    </row>
    <row r="793" spans="1:8" x14ac:dyDescent="0.2">
      <c r="A793" s="359" t="s">
        <v>1929</v>
      </c>
      <c r="B793" s="359"/>
      <c r="C793" s="359" t="s">
        <v>1930</v>
      </c>
      <c r="D793" s="360">
        <v>79499</v>
      </c>
      <c r="E793" s="360">
        <v>79499</v>
      </c>
      <c r="F793" s="360">
        <v>79534</v>
      </c>
      <c r="G793" s="360">
        <v>79226</v>
      </c>
      <c r="H793" s="360">
        <v>78477</v>
      </c>
    </row>
    <row r="794" spans="1:8" x14ac:dyDescent="0.2">
      <c r="A794" s="359" t="s">
        <v>1931</v>
      </c>
      <c r="B794" s="359"/>
      <c r="C794" s="359" t="s">
        <v>1932</v>
      </c>
      <c r="D794" s="360">
        <v>148289</v>
      </c>
      <c r="E794" s="360">
        <v>148289</v>
      </c>
      <c r="F794" s="360">
        <v>148199</v>
      </c>
      <c r="G794" s="360">
        <v>147592</v>
      </c>
      <c r="H794" s="360">
        <v>147063</v>
      </c>
    </row>
    <row r="795" spans="1:8" x14ac:dyDescent="0.2">
      <c r="A795" s="359" t="s">
        <v>1933</v>
      </c>
      <c r="B795" s="359"/>
      <c r="C795" s="359" t="s">
        <v>1934</v>
      </c>
      <c r="D795" s="360">
        <v>21403</v>
      </c>
      <c r="E795" s="360">
        <v>21403</v>
      </c>
      <c r="F795" s="360">
        <v>21429</v>
      </c>
      <c r="G795" s="360">
        <v>21351</v>
      </c>
      <c r="H795" s="360">
        <v>21246</v>
      </c>
    </row>
    <row r="796" spans="1:8" x14ac:dyDescent="0.2">
      <c r="A796" s="359" t="s">
        <v>1935</v>
      </c>
      <c r="B796" s="359"/>
      <c r="C796" s="359" t="s">
        <v>1936</v>
      </c>
      <c r="D796" s="360">
        <v>20978</v>
      </c>
      <c r="E796" s="360">
        <v>20978</v>
      </c>
      <c r="F796" s="360">
        <v>20896</v>
      </c>
      <c r="G796" s="360">
        <v>20662</v>
      </c>
      <c r="H796" s="360">
        <v>20729</v>
      </c>
    </row>
    <row r="797" spans="1:8" x14ac:dyDescent="0.2">
      <c r="A797" s="359" t="s">
        <v>1937</v>
      </c>
      <c r="B797" s="359"/>
      <c r="C797" s="359" t="s">
        <v>1938</v>
      </c>
      <c r="D797" s="360">
        <v>44776</v>
      </c>
      <c r="E797" s="360">
        <v>44776</v>
      </c>
      <c r="F797" s="360">
        <v>44807</v>
      </c>
      <c r="G797" s="360">
        <v>45064</v>
      </c>
      <c r="H797" s="360">
        <v>46606</v>
      </c>
    </row>
    <row r="798" spans="1:8" x14ac:dyDescent="0.2">
      <c r="A798" s="359" t="s">
        <v>1939</v>
      </c>
      <c r="B798" s="359"/>
      <c r="C798" s="359" t="s">
        <v>1940</v>
      </c>
      <c r="D798" s="360">
        <v>77314</v>
      </c>
      <c r="E798" s="360">
        <v>77314</v>
      </c>
      <c r="F798" s="360">
        <v>77334</v>
      </c>
      <c r="G798" s="360">
        <v>77417</v>
      </c>
      <c r="H798" s="360">
        <v>77371</v>
      </c>
    </row>
    <row r="799" spans="1:8" x14ac:dyDescent="0.2">
      <c r="A799" s="359" t="s">
        <v>1941</v>
      </c>
      <c r="B799" s="359"/>
      <c r="C799" s="359" t="s">
        <v>1942</v>
      </c>
      <c r="D799" s="360">
        <v>22134</v>
      </c>
      <c r="E799" s="360">
        <v>22134</v>
      </c>
      <c r="F799" s="360">
        <v>22173</v>
      </c>
      <c r="G799" s="360">
        <v>22057</v>
      </c>
      <c r="H799" s="360">
        <v>22058</v>
      </c>
    </row>
    <row r="800" spans="1:8" x14ac:dyDescent="0.2">
      <c r="A800" s="359" t="s">
        <v>1943</v>
      </c>
      <c r="B800" s="359"/>
      <c r="C800" s="359" t="s">
        <v>1944</v>
      </c>
      <c r="D800" s="360">
        <v>63463</v>
      </c>
      <c r="E800" s="360">
        <v>63463</v>
      </c>
      <c r="F800" s="360">
        <v>63666</v>
      </c>
      <c r="G800" s="360">
        <v>63391</v>
      </c>
      <c r="H800" s="360">
        <v>63406</v>
      </c>
    </row>
    <row r="801" spans="1:8" x14ac:dyDescent="0.2">
      <c r="A801" s="359" t="s">
        <v>1945</v>
      </c>
      <c r="B801" s="359"/>
      <c r="C801" s="359" t="s">
        <v>1946</v>
      </c>
      <c r="D801" s="360">
        <v>46183</v>
      </c>
      <c r="E801" s="360">
        <v>46183</v>
      </c>
      <c r="F801" s="360">
        <v>46189</v>
      </c>
      <c r="G801" s="360">
        <v>46243</v>
      </c>
      <c r="H801" s="360">
        <v>46336</v>
      </c>
    </row>
    <row r="802" spans="1:8" x14ac:dyDescent="0.2">
      <c r="A802" s="359" t="s">
        <v>1947</v>
      </c>
      <c r="B802" s="359"/>
      <c r="C802" s="359" t="s">
        <v>1948</v>
      </c>
      <c r="D802" s="360">
        <v>50778</v>
      </c>
      <c r="E802" s="360">
        <v>50778</v>
      </c>
      <c r="F802" s="360">
        <v>50830</v>
      </c>
      <c r="G802" s="360">
        <v>50954</v>
      </c>
      <c r="H802" s="360">
        <v>50413</v>
      </c>
    </row>
    <row r="803" spans="1:8" x14ac:dyDescent="0.2">
      <c r="A803" s="359" t="s">
        <v>1949</v>
      </c>
      <c r="B803" s="359"/>
      <c r="C803" s="359" t="s">
        <v>1950</v>
      </c>
      <c r="D803" s="360">
        <v>68917</v>
      </c>
      <c r="E803" s="360">
        <v>68917</v>
      </c>
      <c r="F803" s="360">
        <v>68869</v>
      </c>
      <c r="G803" s="360">
        <v>68693</v>
      </c>
      <c r="H803" s="360">
        <v>68346</v>
      </c>
    </row>
    <row r="804" spans="1:8" x14ac:dyDescent="0.2">
      <c r="A804" s="359" t="s">
        <v>1951</v>
      </c>
      <c r="B804" s="359"/>
      <c r="C804" s="359" t="s">
        <v>1952</v>
      </c>
      <c r="D804" s="360">
        <v>99972</v>
      </c>
      <c r="E804" s="360">
        <v>99972</v>
      </c>
      <c r="F804" s="360">
        <v>100199</v>
      </c>
      <c r="G804" s="360">
        <v>101219</v>
      </c>
      <c r="H804" s="360">
        <v>101792</v>
      </c>
    </row>
    <row r="805" spans="1:8" x14ac:dyDescent="0.2">
      <c r="A805" s="359" t="s">
        <v>1953</v>
      </c>
      <c r="B805" s="359"/>
      <c r="C805" s="359" t="s">
        <v>1954</v>
      </c>
      <c r="D805" s="360">
        <v>60968</v>
      </c>
      <c r="E805" s="360">
        <v>60968</v>
      </c>
      <c r="F805" s="360">
        <v>61149</v>
      </c>
      <c r="G805" s="360">
        <v>61498</v>
      </c>
      <c r="H805" s="360">
        <v>61615</v>
      </c>
    </row>
    <row r="806" spans="1:8" x14ac:dyDescent="0.2">
      <c r="A806" s="359" t="s">
        <v>1955</v>
      </c>
      <c r="B806" s="359"/>
      <c r="C806" s="359" t="s">
        <v>1956</v>
      </c>
      <c r="D806" s="360">
        <v>40123</v>
      </c>
      <c r="E806" s="360">
        <v>40123</v>
      </c>
      <c r="F806" s="360">
        <v>40238</v>
      </c>
      <c r="G806" s="360">
        <v>40575</v>
      </c>
      <c r="H806" s="360">
        <v>41110</v>
      </c>
    </row>
    <row r="807" spans="1:8" x14ac:dyDescent="0.2">
      <c r="A807" s="359" t="s">
        <v>1957</v>
      </c>
      <c r="B807" s="359"/>
      <c r="C807" s="359" t="s">
        <v>1958</v>
      </c>
      <c r="D807" s="360">
        <v>76790</v>
      </c>
      <c r="E807" s="360">
        <v>76789</v>
      </c>
      <c r="F807" s="360">
        <v>76553</v>
      </c>
      <c r="G807" s="360">
        <v>76313</v>
      </c>
      <c r="H807" s="360">
        <v>75434</v>
      </c>
    </row>
    <row r="808" spans="1:8" x14ac:dyDescent="0.2">
      <c r="A808" s="359" t="s">
        <v>1959</v>
      </c>
      <c r="B808" s="359"/>
      <c r="C808" s="359" t="s">
        <v>1960</v>
      </c>
      <c r="D808" s="360">
        <v>53497</v>
      </c>
      <c r="E808" s="360">
        <v>53497</v>
      </c>
      <c r="F808" s="360">
        <v>53456</v>
      </c>
      <c r="G808" s="360">
        <v>53163</v>
      </c>
      <c r="H808" s="360">
        <v>52848</v>
      </c>
    </row>
    <row r="809" spans="1:8" x14ac:dyDescent="0.2">
      <c r="A809" s="359" t="s">
        <v>1961</v>
      </c>
      <c r="B809" s="359"/>
      <c r="C809" s="359" t="s">
        <v>1962</v>
      </c>
      <c r="D809" s="360">
        <v>46639</v>
      </c>
      <c r="E809" s="360">
        <v>46639</v>
      </c>
      <c r="F809" s="360">
        <v>46656</v>
      </c>
      <c r="G809" s="360">
        <v>46683</v>
      </c>
      <c r="H809" s="360">
        <v>46627</v>
      </c>
    </row>
    <row r="810" spans="1:8" x14ac:dyDescent="0.2">
      <c r="A810" s="359" t="s">
        <v>1963</v>
      </c>
      <c r="B810" s="359"/>
      <c r="C810" s="359" t="s">
        <v>1964</v>
      </c>
      <c r="D810" s="360">
        <v>43806</v>
      </c>
      <c r="E810" s="360">
        <v>43806</v>
      </c>
      <c r="F810" s="360">
        <v>43614</v>
      </c>
      <c r="G810" s="360">
        <v>44078</v>
      </c>
      <c r="H810" s="360">
        <v>45267</v>
      </c>
    </row>
    <row r="811" spans="1:8" x14ac:dyDescent="0.2">
      <c r="A811" s="359" t="s">
        <v>1965</v>
      </c>
      <c r="B811" s="359"/>
      <c r="C811" s="359" t="s">
        <v>1966</v>
      </c>
      <c r="D811" s="360">
        <v>45156</v>
      </c>
      <c r="E811" s="360">
        <v>45156</v>
      </c>
      <c r="F811" s="360">
        <v>45291</v>
      </c>
      <c r="G811" s="360">
        <v>45107</v>
      </c>
      <c r="H811" s="360">
        <v>44987</v>
      </c>
    </row>
    <row r="812" spans="1:8" x14ac:dyDescent="0.2">
      <c r="A812" s="359" t="s">
        <v>1967</v>
      </c>
      <c r="B812" s="359"/>
      <c r="C812" s="359" t="s">
        <v>1968</v>
      </c>
      <c r="D812" s="360">
        <v>107667</v>
      </c>
      <c r="E812" s="360">
        <v>107667</v>
      </c>
      <c r="F812" s="360">
        <v>107696</v>
      </c>
      <c r="G812" s="360">
        <v>107400</v>
      </c>
      <c r="H812" s="360">
        <v>107164</v>
      </c>
    </row>
    <row r="813" spans="1:8" x14ac:dyDescent="0.2">
      <c r="A813" s="359" t="s">
        <v>1969</v>
      </c>
      <c r="B813" s="359"/>
      <c r="C813" s="359" t="s">
        <v>1970</v>
      </c>
      <c r="D813" s="360">
        <v>65645</v>
      </c>
      <c r="E813" s="360">
        <v>65645</v>
      </c>
      <c r="F813" s="360">
        <v>65770</v>
      </c>
      <c r="G813" s="360">
        <v>65673</v>
      </c>
      <c r="H813" s="360">
        <v>65784</v>
      </c>
    </row>
    <row r="814" spans="1:8" x14ac:dyDescent="0.2">
      <c r="A814" s="359" t="s">
        <v>1971</v>
      </c>
      <c r="B814" s="359"/>
      <c r="C814" s="359" t="s">
        <v>1972</v>
      </c>
      <c r="D814" s="360">
        <v>83939</v>
      </c>
      <c r="E814" s="360">
        <v>83939</v>
      </c>
      <c r="F814" s="360">
        <v>84279</v>
      </c>
      <c r="G814" s="360">
        <v>84545</v>
      </c>
      <c r="H814" s="360">
        <v>84697</v>
      </c>
    </row>
    <row r="815" spans="1:8" x14ac:dyDescent="0.2">
      <c r="A815" s="359" t="s">
        <v>1973</v>
      </c>
      <c r="B815" s="359"/>
      <c r="C815" s="359" t="s">
        <v>1974</v>
      </c>
      <c r="D815" s="360">
        <v>46735</v>
      </c>
      <c r="E815" s="360">
        <v>46735</v>
      </c>
      <c r="F815" s="360">
        <v>46803</v>
      </c>
      <c r="G815" s="360">
        <v>46965</v>
      </c>
      <c r="H815" s="360">
        <v>46953</v>
      </c>
    </row>
    <row r="816" spans="1:8" x14ac:dyDescent="0.2">
      <c r="A816" s="359" t="s">
        <v>1975</v>
      </c>
      <c r="B816" s="359"/>
      <c r="C816" s="359" t="s">
        <v>1976</v>
      </c>
      <c r="D816" s="360">
        <v>61642</v>
      </c>
      <c r="E816" s="360">
        <v>61642</v>
      </c>
      <c r="F816" s="360">
        <v>61560</v>
      </c>
      <c r="G816" s="360">
        <v>61250</v>
      </c>
      <c r="H816" s="360">
        <v>60869</v>
      </c>
    </row>
    <row r="817" spans="1:8" x14ac:dyDescent="0.2">
      <c r="A817" s="359" t="s">
        <v>1977</v>
      </c>
      <c r="B817" s="359"/>
      <c r="C817" s="359" t="s">
        <v>1978</v>
      </c>
      <c r="D817" s="360">
        <v>37220</v>
      </c>
      <c r="E817" s="360">
        <v>37220</v>
      </c>
      <c r="F817" s="360">
        <v>36847</v>
      </c>
      <c r="G817" s="360">
        <v>37150</v>
      </c>
      <c r="H817" s="360">
        <v>37416</v>
      </c>
    </row>
    <row r="818" spans="1:8" x14ac:dyDescent="0.2">
      <c r="A818" s="359" t="s">
        <v>1979</v>
      </c>
      <c r="B818" s="359"/>
      <c r="C818" s="359" t="s">
        <v>1980</v>
      </c>
      <c r="D818" s="360">
        <v>50513</v>
      </c>
      <c r="E818" s="360">
        <v>50513</v>
      </c>
      <c r="F818" s="360">
        <v>50698</v>
      </c>
      <c r="G818" s="360">
        <v>50339</v>
      </c>
      <c r="H818" s="360">
        <v>51402</v>
      </c>
    </row>
    <row r="819" spans="1:8" x14ac:dyDescent="0.2">
      <c r="A819" s="359" t="s">
        <v>1981</v>
      </c>
      <c r="B819" s="359"/>
      <c r="C819" s="359" t="s">
        <v>1982</v>
      </c>
      <c r="D819" s="360">
        <v>107841</v>
      </c>
      <c r="E819" s="360">
        <v>107841</v>
      </c>
      <c r="F819" s="360">
        <v>107820</v>
      </c>
      <c r="G819" s="360">
        <v>107244</v>
      </c>
      <c r="H819" s="360">
        <v>106507</v>
      </c>
    </row>
    <row r="820" spans="1:8" x14ac:dyDescent="0.2">
      <c r="A820" s="359" t="s">
        <v>1983</v>
      </c>
      <c r="B820" s="359"/>
      <c r="C820" s="359" t="s">
        <v>1984</v>
      </c>
      <c r="D820" s="360">
        <v>61697</v>
      </c>
      <c r="E820" s="360">
        <v>61697</v>
      </c>
      <c r="F820" s="360">
        <v>61828</v>
      </c>
      <c r="G820" s="360">
        <v>61843</v>
      </c>
      <c r="H820" s="360">
        <v>62060</v>
      </c>
    </row>
    <row r="821" spans="1:8" x14ac:dyDescent="0.2">
      <c r="A821" s="359" t="s">
        <v>1985</v>
      </c>
      <c r="B821" s="359"/>
      <c r="C821" s="359" t="s">
        <v>1986</v>
      </c>
      <c r="D821" s="360">
        <v>40877</v>
      </c>
      <c r="E821" s="360">
        <v>40877</v>
      </c>
      <c r="F821" s="360">
        <v>40940</v>
      </c>
      <c r="G821" s="360">
        <v>40837</v>
      </c>
      <c r="H821" s="360">
        <v>40476</v>
      </c>
    </row>
    <row r="822" spans="1:8" x14ac:dyDescent="0.2">
      <c r="A822" s="359" t="s">
        <v>1987</v>
      </c>
      <c r="B822" s="359"/>
      <c r="C822" s="359" t="s">
        <v>1988</v>
      </c>
      <c r="D822" s="360">
        <v>77079</v>
      </c>
      <c r="E822" s="360">
        <v>77079</v>
      </c>
      <c r="F822" s="360">
        <v>77042</v>
      </c>
      <c r="G822" s="360">
        <v>76661</v>
      </c>
      <c r="H822" s="360">
        <v>76398</v>
      </c>
    </row>
    <row r="823" spans="1:8" x14ac:dyDescent="0.2">
      <c r="A823" s="359" t="s">
        <v>1989</v>
      </c>
      <c r="B823" s="359"/>
      <c r="C823" s="359" t="s">
        <v>1990</v>
      </c>
      <c r="D823" s="360">
        <v>57866</v>
      </c>
      <c r="E823" s="360">
        <v>57866</v>
      </c>
      <c r="F823" s="360">
        <v>57877</v>
      </c>
      <c r="G823" s="360">
        <v>58605</v>
      </c>
      <c r="H823" s="360">
        <v>59715</v>
      </c>
    </row>
    <row r="824" spans="1:8" x14ac:dyDescent="0.2">
      <c r="A824" s="359" t="s">
        <v>1991</v>
      </c>
      <c r="B824" s="359"/>
      <c r="C824" s="359" t="s">
        <v>1992</v>
      </c>
      <c r="D824" s="360">
        <v>38520</v>
      </c>
      <c r="E824" s="360">
        <v>38520</v>
      </c>
      <c r="F824" s="360">
        <v>38482</v>
      </c>
      <c r="G824" s="360">
        <v>38776</v>
      </c>
      <c r="H824" s="360">
        <v>38917</v>
      </c>
    </row>
    <row r="825" spans="1:8" x14ac:dyDescent="0.2">
      <c r="A825" s="359" t="s">
        <v>1993</v>
      </c>
      <c r="B825" s="359"/>
      <c r="C825" s="359" t="s">
        <v>1994</v>
      </c>
      <c r="D825" s="360">
        <v>62622</v>
      </c>
      <c r="E825" s="360">
        <v>62622</v>
      </c>
      <c r="F825" s="360">
        <v>62609</v>
      </c>
      <c r="G825" s="360">
        <v>63001</v>
      </c>
      <c r="H825" s="360">
        <v>62792</v>
      </c>
    </row>
    <row r="826" spans="1:8" x14ac:dyDescent="0.2">
      <c r="A826" s="359" t="s">
        <v>1995</v>
      </c>
      <c r="B826" s="359"/>
      <c r="C826" s="359" t="s">
        <v>1996</v>
      </c>
      <c r="D826" s="360">
        <v>38971</v>
      </c>
      <c r="E826" s="360">
        <v>38971</v>
      </c>
      <c r="F826" s="360">
        <v>39077</v>
      </c>
      <c r="G826" s="360">
        <v>38994</v>
      </c>
      <c r="H826" s="360">
        <v>39039</v>
      </c>
    </row>
    <row r="827" spans="1:8" x14ac:dyDescent="0.2">
      <c r="A827" s="359" t="s">
        <v>1997</v>
      </c>
      <c r="B827" s="359"/>
      <c r="C827" s="359" t="s">
        <v>1998</v>
      </c>
      <c r="D827" s="360">
        <v>53227</v>
      </c>
      <c r="E827" s="360">
        <v>53226</v>
      </c>
      <c r="F827" s="360">
        <v>53158</v>
      </c>
      <c r="G827" s="360">
        <v>53230</v>
      </c>
      <c r="H827" s="360">
        <v>53019</v>
      </c>
    </row>
    <row r="828" spans="1:8" x14ac:dyDescent="0.2">
      <c r="A828" s="359" t="s">
        <v>1999</v>
      </c>
      <c r="B828" s="359"/>
      <c r="C828" s="359" t="s">
        <v>2000</v>
      </c>
      <c r="D828" s="360">
        <v>77076</v>
      </c>
      <c r="E828" s="360">
        <v>77076</v>
      </c>
      <c r="F828" s="360">
        <v>77319</v>
      </c>
      <c r="G828" s="360">
        <v>78089</v>
      </c>
      <c r="H828" s="360">
        <v>78493</v>
      </c>
    </row>
    <row r="829" spans="1:8" x14ac:dyDescent="0.2">
      <c r="A829" s="359" t="s">
        <v>2001</v>
      </c>
      <c r="B829" s="359"/>
      <c r="C829" s="359" t="s">
        <v>2002</v>
      </c>
      <c r="D829" s="360">
        <v>42201</v>
      </c>
      <c r="E829" s="360">
        <v>42201</v>
      </c>
      <c r="F829" s="360">
        <v>42280</v>
      </c>
      <c r="G829" s="360">
        <v>42148</v>
      </c>
      <c r="H829" s="360">
        <v>42319</v>
      </c>
    </row>
    <row r="830" spans="1:8" x14ac:dyDescent="0.2">
      <c r="A830" s="359" t="s">
        <v>2003</v>
      </c>
      <c r="B830" s="359"/>
      <c r="C830" s="359" t="s">
        <v>2004</v>
      </c>
      <c r="D830" s="360">
        <v>39702</v>
      </c>
      <c r="E830" s="360">
        <v>39702</v>
      </c>
      <c r="F830" s="360">
        <v>39741</v>
      </c>
      <c r="G830" s="360">
        <v>39658</v>
      </c>
      <c r="H830" s="360">
        <v>39672</v>
      </c>
    </row>
    <row r="831" spans="1:8" x14ac:dyDescent="0.2">
      <c r="A831" s="359" t="s">
        <v>2005</v>
      </c>
      <c r="B831" s="359"/>
      <c r="C831" s="359" t="s">
        <v>2006</v>
      </c>
      <c r="D831" s="360">
        <v>43820</v>
      </c>
      <c r="E831" s="360">
        <v>43820</v>
      </c>
      <c r="F831" s="360">
        <v>43782</v>
      </c>
      <c r="G831" s="360">
        <v>43189</v>
      </c>
      <c r="H831" s="360">
        <v>42864</v>
      </c>
    </row>
    <row r="832" spans="1:8" x14ac:dyDescent="0.2">
      <c r="A832" s="359" t="s">
        <v>2007</v>
      </c>
      <c r="B832" s="359"/>
      <c r="C832" s="359" t="s">
        <v>2008</v>
      </c>
      <c r="D832" s="360">
        <v>74273</v>
      </c>
      <c r="E832" s="360">
        <v>74275</v>
      </c>
      <c r="F832" s="360">
        <v>74371</v>
      </c>
      <c r="G832" s="360">
        <v>74276</v>
      </c>
      <c r="H832" s="360">
        <v>74627</v>
      </c>
    </row>
    <row r="833" spans="1:8" x14ac:dyDescent="0.2">
      <c r="A833" s="359" t="s">
        <v>2009</v>
      </c>
      <c r="B833" s="359"/>
      <c r="C833" s="359" t="s">
        <v>2010</v>
      </c>
      <c r="D833" s="360">
        <v>35251</v>
      </c>
      <c r="E833" s="360">
        <v>35248</v>
      </c>
      <c r="F833" s="360">
        <v>35219</v>
      </c>
      <c r="G833" s="360">
        <v>35349</v>
      </c>
      <c r="H833" s="360">
        <v>35305</v>
      </c>
    </row>
    <row r="834" spans="1:8" x14ac:dyDescent="0.2">
      <c r="A834" s="359" t="s">
        <v>2011</v>
      </c>
      <c r="B834" s="359"/>
      <c r="C834" s="359" t="s">
        <v>2012</v>
      </c>
      <c r="D834" s="360">
        <v>89889</v>
      </c>
      <c r="E834" s="360">
        <v>89887</v>
      </c>
      <c r="F834" s="360">
        <v>90146</v>
      </c>
      <c r="G834" s="360">
        <v>91355</v>
      </c>
      <c r="H834" s="360">
        <v>92512</v>
      </c>
    </row>
    <row r="835" spans="1:8" x14ac:dyDescent="0.2">
      <c r="A835" s="359" t="s">
        <v>2013</v>
      </c>
      <c r="B835" s="359"/>
      <c r="C835" s="359" t="s">
        <v>2014</v>
      </c>
      <c r="D835" s="360">
        <v>42376</v>
      </c>
      <c r="E835" s="360">
        <v>42376</v>
      </c>
      <c r="F835" s="360">
        <v>42555</v>
      </c>
      <c r="G835" s="360">
        <v>42930</v>
      </c>
      <c r="H835" s="360">
        <v>43083</v>
      </c>
    </row>
    <row r="836" spans="1:8" x14ac:dyDescent="0.2">
      <c r="A836" s="359" t="s">
        <v>2015</v>
      </c>
      <c r="B836" s="359"/>
      <c r="C836" s="359" t="s">
        <v>2016</v>
      </c>
      <c r="D836" s="360">
        <v>46181</v>
      </c>
      <c r="E836" s="360">
        <v>46181</v>
      </c>
      <c r="F836" s="360">
        <v>46196</v>
      </c>
      <c r="G836" s="360">
        <v>46129</v>
      </c>
      <c r="H836" s="360">
        <v>45947</v>
      </c>
    </row>
    <row r="837" spans="1:8" x14ac:dyDescent="0.2">
      <c r="A837" s="359" t="s">
        <v>2017</v>
      </c>
      <c r="B837" s="359"/>
      <c r="C837" s="359" t="s">
        <v>2018</v>
      </c>
      <c r="D837" s="360">
        <v>69442</v>
      </c>
      <c r="E837" s="360">
        <v>69442</v>
      </c>
      <c r="F837" s="360">
        <v>69649</v>
      </c>
      <c r="G837" s="360">
        <v>70217</v>
      </c>
      <c r="H837" s="360">
        <v>70760</v>
      </c>
    </row>
    <row r="838" spans="1:8" x14ac:dyDescent="0.2">
      <c r="A838" s="359" t="s">
        <v>2019</v>
      </c>
      <c r="B838" s="359"/>
      <c r="C838" s="359" t="s">
        <v>2020</v>
      </c>
      <c r="D838" s="360">
        <v>98078</v>
      </c>
      <c r="E838" s="360">
        <v>98078</v>
      </c>
      <c r="F838" s="360">
        <v>98030</v>
      </c>
      <c r="G838" s="360">
        <v>97581</v>
      </c>
      <c r="H838" s="360">
        <v>97474</v>
      </c>
    </row>
    <row r="839" spans="1:8" x14ac:dyDescent="0.2">
      <c r="A839" s="359" t="s">
        <v>2021</v>
      </c>
      <c r="B839" s="359"/>
      <c r="C839" s="359" t="s">
        <v>2022</v>
      </c>
      <c r="D839" s="360">
        <v>45058</v>
      </c>
      <c r="E839" s="360">
        <v>45058</v>
      </c>
      <c r="F839" s="360">
        <v>45129</v>
      </c>
      <c r="G839" s="360">
        <v>45360</v>
      </c>
      <c r="H839" s="360">
        <v>45573</v>
      </c>
    </row>
    <row r="840" spans="1:8" x14ac:dyDescent="0.2">
      <c r="A840" s="359" t="s">
        <v>2023</v>
      </c>
      <c r="B840" s="359"/>
      <c r="C840" s="359" t="s">
        <v>2024</v>
      </c>
      <c r="D840" s="360">
        <v>60699</v>
      </c>
      <c r="E840" s="360">
        <v>60699</v>
      </c>
      <c r="F840" s="360">
        <v>60787</v>
      </c>
      <c r="G840" s="360">
        <v>60988</v>
      </c>
      <c r="H840" s="360">
        <v>60832</v>
      </c>
    </row>
    <row r="841" spans="1:8" x14ac:dyDescent="0.2">
      <c r="A841" s="359" t="s">
        <v>2025</v>
      </c>
      <c r="B841" s="359"/>
      <c r="C841" s="359" t="s">
        <v>2026</v>
      </c>
      <c r="D841" s="360">
        <v>29116</v>
      </c>
      <c r="E841" s="360">
        <v>29116</v>
      </c>
      <c r="F841" s="360">
        <v>29147</v>
      </c>
      <c r="G841" s="360">
        <v>29260</v>
      </c>
      <c r="H841" s="360">
        <v>29596</v>
      </c>
    </row>
    <row r="842" spans="1:8" x14ac:dyDescent="0.2">
      <c r="A842" s="359" t="s">
        <v>2027</v>
      </c>
      <c r="B842" s="359"/>
      <c r="C842" s="359" t="s">
        <v>2028</v>
      </c>
      <c r="D842" s="360">
        <v>107449</v>
      </c>
      <c r="E842" s="360">
        <v>107449</v>
      </c>
      <c r="F842" s="360">
        <v>107608</v>
      </c>
      <c r="G842" s="360">
        <v>107174</v>
      </c>
      <c r="H842" s="360">
        <v>107094</v>
      </c>
    </row>
    <row r="843" spans="1:8" x14ac:dyDescent="0.2">
      <c r="A843" s="359" t="s">
        <v>2029</v>
      </c>
      <c r="B843" s="359"/>
      <c r="C843" s="359" t="s">
        <v>2030</v>
      </c>
      <c r="D843" s="360">
        <v>49423</v>
      </c>
      <c r="E843" s="360">
        <v>49423</v>
      </c>
      <c r="F843" s="360">
        <v>49345</v>
      </c>
      <c r="G843" s="360">
        <v>49291</v>
      </c>
      <c r="H843" s="360">
        <v>49167</v>
      </c>
    </row>
    <row r="844" spans="1:8" x14ac:dyDescent="0.2">
      <c r="A844" s="359" t="s">
        <v>2031</v>
      </c>
      <c r="B844" s="359"/>
      <c r="C844" s="359" t="s">
        <v>2032</v>
      </c>
      <c r="D844" s="360">
        <v>39191</v>
      </c>
      <c r="E844" s="360">
        <v>39187</v>
      </c>
      <c r="F844" s="360">
        <v>39228</v>
      </c>
      <c r="G844" s="360">
        <v>39115</v>
      </c>
      <c r="H844" s="360">
        <v>39139</v>
      </c>
    </row>
    <row r="845" spans="1:8" x14ac:dyDescent="0.2">
      <c r="A845" s="359" t="s">
        <v>2033</v>
      </c>
      <c r="B845" s="359"/>
      <c r="C845" s="359" t="s">
        <v>2034</v>
      </c>
      <c r="D845" s="360">
        <v>29514</v>
      </c>
      <c r="E845" s="360">
        <v>29514</v>
      </c>
      <c r="F845" s="360">
        <v>29407</v>
      </c>
      <c r="G845" s="360">
        <v>29430</v>
      </c>
      <c r="H845" s="360">
        <v>29388</v>
      </c>
    </row>
    <row r="846" spans="1:8" x14ac:dyDescent="0.2">
      <c r="A846" s="359" t="s">
        <v>2035</v>
      </c>
      <c r="B846" s="359"/>
      <c r="C846" s="359" t="s">
        <v>2036</v>
      </c>
      <c r="D846" s="360">
        <v>16921</v>
      </c>
      <c r="E846" s="360">
        <v>16921</v>
      </c>
      <c r="F846" s="360">
        <v>16957</v>
      </c>
      <c r="G846" s="360">
        <v>16907</v>
      </c>
      <c r="H846" s="360">
        <v>17126</v>
      </c>
    </row>
    <row r="847" spans="1:8" x14ac:dyDescent="0.2">
      <c r="A847" s="359" t="s">
        <v>2037</v>
      </c>
      <c r="B847" s="359"/>
      <c r="C847" s="359" t="s">
        <v>2038</v>
      </c>
      <c r="D847" s="360">
        <v>63063</v>
      </c>
      <c r="E847" s="360">
        <v>63063</v>
      </c>
      <c r="F847" s="360">
        <v>63192</v>
      </c>
      <c r="G847" s="360">
        <v>63461</v>
      </c>
      <c r="H847" s="360">
        <v>63593</v>
      </c>
    </row>
    <row r="848" spans="1:8" x14ac:dyDescent="0.2">
      <c r="A848" s="359" t="s">
        <v>2039</v>
      </c>
      <c r="B848" s="359"/>
      <c r="C848" s="359" t="s">
        <v>2040</v>
      </c>
      <c r="D848" s="360">
        <v>77742</v>
      </c>
      <c r="E848" s="360">
        <v>77748</v>
      </c>
      <c r="F848" s="360">
        <v>77706</v>
      </c>
      <c r="G848" s="360">
        <v>77382</v>
      </c>
      <c r="H848" s="360">
        <v>76957</v>
      </c>
    </row>
    <row r="849" spans="1:8" x14ac:dyDescent="0.2">
      <c r="A849" s="359" t="s">
        <v>2041</v>
      </c>
      <c r="B849" s="359"/>
      <c r="C849" s="359" t="s">
        <v>2042</v>
      </c>
      <c r="D849" s="360">
        <v>55365</v>
      </c>
      <c r="E849" s="360">
        <v>55365</v>
      </c>
      <c r="F849" s="360">
        <v>55162</v>
      </c>
      <c r="G849" s="360">
        <v>54692</v>
      </c>
      <c r="H849" s="360">
        <v>54008</v>
      </c>
    </row>
    <row r="850" spans="1:8" x14ac:dyDescent="0.2">
      <c r="A850" s="359" t="s">
        <v>2043</v>
      </c>
      <c r="B850" s="359"/>
      <c r="C850" s="359" t="s">
        <v>2044</v>
      </c>
      <c r="D850" s="360">
        <v>24097</v>
      </c>
      <c r="E850" s="360">
        <v>24097</v>
      </c>
      <c r="F850" s="360">
        <v>24173</v>
      </c>
      <c r="G850" s="360">
        <v>24306</v>
      </c>
      <c r="H850" s="360">
        <v>24397</v>
      </c>
    </row>
    <row r="851" spans="1:8" x14ac:dyDescent="0.2">
      <c r="A851" s="359" t="s">
        <v>2045</v>
      </c>
      <c r="B851" s="359"/>
      <c r="C851" s="359" t="s">
        <v>2046</v>
      </c>
      <c r="D851" s="360">
        <v>16667</v>
      </c>
      <c r="E851" s="360">
        <v>16667</v>
      </c>
      <c r="F851" s="360">
        <v>16632</v>
      </c>
      <c r="G851" s="360">
        <v>16611</v>
      </c>
      <c r="H851" s="360">
        <v>16599</v>
      </c>
    </row>
    <row r="852" spans="1:8" x14ac:dyDescent="0.2">
      <c r="A852" s="359" t="s">
        <v>2047</v>
      </c>
      <c r="B852" s="359"/>
      <c r="C852" s="359" t="s">
        <v>2048</v>
      </c>
      <c r="D852" s="360">
        <v>16667</v>
      </c>
      <c r="E852" s="360">
        <v>16667</v>
      </c>
      <c r="F852" s="360">
        <v>16665</v>
      </c>
      <c r="G852" s="360">
        <v>16899</v>
      </c>
      <c r="H852" s="360">
        <v>16972</v>
      </c>
    </row>
    <row r="853" spans="1:8" x14ac:dyDescent="0.2">
      <c r="A853" s="359" t="s">
        <v>2049</v>
      </c>
      <c r="B853" s="359"/>
      <c r="C853" s="359" t="s">
        <v>2050</v>
      </c>
      <c r="D853" s="360">
        <v>47671</v>
      </c>
      <c r="E853" s="360">
        <v>47671</v>
      </c>
      <c r="F853" s="360">
        <v>47653</v>
      </c>
      <c r="G853" s="360">
        <v>47713</v>
      </c>
      <c r="H853" s="360">
        <v>48192</v>
      </c>
    </row>
    <row r="854" spans="1:8" x14ac:dyDescent="0.2">
      <c r="A854" s="359" t="s">
        <v>2051</v>
      </c>
      <c r="B854" s="359"/>
      <c r="C854" s="359" t="s">
        <v>2052</v>
      </c>
      <c r="D854" s="360">
        <v>70217</v>
      </c>
      <c r="E854" s="360">
        <v>70217</v>
      </c>
      <c r="F854" s="360">
        <v>70635</v>
      </c>
      <c r="G854" s="360">
        <v>72783</v>
      </c>
      <c r="H854" s="360">
        <v>72694</v>
      </c>
    </row>
    <row r="855" spans="1:8" x14ac:dyDescent="0.2">
      <c r="A855" s="359" t="s">
        <v>2053</v>
      </c>
      <c r="B855" s="359"/>
      <c r="C855" s="359" t="s">
        <v>2054</v>
      </c>
      <c r="D855" s="360">
        <v>23509</v>
      </c>
      <c r="E855" s="360">
        <v>23509</v>
      </c>
      <c r="F855" s="360">
        <v>23476</v>
      </c>
      <c r="G855" s="360">
        <v>23293</v>
      </c>
      <c r="H855" s="360">
        <v>23334</v>
      </c>
    </row>
    <row r="856" spans="1:8" x14ac:dyDescent="0.2">
      <c r="A856" s="359" t="s">
        <v>2055</v>
      </c>
      <c r="B856" s="359"/>
      <c r="C856" s="359" t="s">
        <v>2056</v>
      </c>
      <c r="D856" s="360">
        <v>37890</v>
      </c>
      <c r="E856" s="360">
        <v>37890</v>
      </c>
      <c r="F856" s="360">
        <v>37907</v>
      </c>
      <c r="G856" s="360">
        <v>39000</v>
      </c>
      <c r="H856" s="360">
        <v>39321</v>
      </c>
    </row>
    <row r="857" spans="1:8" x14ac:dyDescent="0.2">
      <c r="A857" s="359" t="s">
        <v>2057</v>
      </c>
      <c r="B857" s="359"/>
      <c r="C857" s="359" t="s">
        <v>2058</v>
      </c>
      <c r="D857" s="360">
        <v>22709</v>
      </c>
      <c r="E857" s="360">
        <v>22709</v>
      </c>
      <c r="F857" s="360">
        <v>22773</v>
      </c>
      <c r="G857" s="360">
        <v>22720</v>
      </c>
      <c r="H857" s="360">
        <v>22631</v>
      </c>
    </row>
    <row r="858" spans="1:8" x14ac:dyDescent="0.2">
      <c r="A858" s="359" t="s">
        <v>2059</v>
      </c>
      <c r="B858" s="359"/>
      <c r="C858" s="359" t="s">
        <v>2060</v>
      </c>
      <c r="D858" s="360">
        <v>58498</v>
      </c>
      <c r="E858" s="360">
        <v>58498</v>
      </c>
      <c r="F858" s="360">
        <v>58465</v>
      </c>
      <c r="G858" s="360">
        <v>58240</v>
      </c>
      <c r="H858" s="360">
        <v>57846</v>
      </c>
    </row>
    <row r="859" spans="1:8" x14ac:dyDescent="0.2">
      <c r="A859" s="359" t="s">
        <v>2061</v>
      </c>
      <c r="B859" s="359"/>
      <c r="C859" s="359" t="s">
        <v>2062</v>
      </c>
      <c r="D859" s="360">
        <v>70019</v>
      </c>
      <c r="E859" s="360">
        <v>70019</v>
      </c>
      <c r="F859" s="360">
        <v>69992</v>
      </c>
      <c r="G859" s="360">
        <v>70194</v>
      </c>
      <c r="H859" s="360">
        <v>70433</v>
      </c>
    </row>
    <row r="860" spans="1:8" x14ac:dyDescent="0.2">
      <c r="A860" s="359" t="s">
        <v>2063</v>
      </c>
      <c r="B860" s="359"/>
      <c r="C860" s="359" t="s">
        <v>2064</v>
      </c>
      <c r="D860" s="360">
        <v>77350</v>
      </c>
      <c r="E860" s="360">
        <v>77350</v>
      </c>
      <c r="F860" s="360">
        <v>77446</v>
      </c>
      <c r="G860" s="360">
        <v>77919</v>
      </c>
      <c r="H860" s="360">
        <v>78399</v>
      </c>
    </row>
    <row r="861" spans="1:8" x14ac:dyDescent="0.2">
      <c r="A861" s="359" t="s">
        <v>2065</v>
      </c>
      <c r="B861" s="359"/>
      <c r="C861" s="359" t="s">
        <v>2066</v>
      </c>
      <c r="D861" s="360">
        <v>20260</v>
      </c>
      <c r="E861" s="360">
        <v>20260</v>
      </c>
      <c r="F861" s="360">
        <v>20331</v>
      </c>
      <c r="G861" s="360">
        <v>20294</v>
      </c>
      <c r="H861" s="360">
        <v>20592</v>
      </c>
    </row>
    <row r="862" spans="1:8" x14ac:dyDescent="0.2">
      <c r="A862" s="359" t="s">
        <v>2067</v>
      </c>
      <c r="B862" s="359"/>
      <c r="C862" s="359" t="s">
        <v>2068</v>
      </c>
      <c r="D862" s="360">
        <v>61295</v>
      </c>
      <c r="E862" s="360">
        <v>61295</v>
      </c>
      <c r="F862" s="360">
        <v>61259</v>
      </c>
      <c r="G862" s="360">
        <v>61016</v>
      </c>
      <c r="H862" s="360">
        <v>60796</v>
      </c>
    </row>
    <row r="863" spans="1:8" x14ac:dyDescent="0.2">
      <c r="A863" s="359" t="s">
        <v>2069</v>
      </c>
      <c r="B863" s="359"/>
      <c r="C863" s="359" t="s">
        <v>2070</v>
      </c>
      <c r="D863" s="360">
        <v>35161</v>
      </c>
      <c r="E863" s="360">
        <v>35161</v>
      </c>
      <c r="F863" s="360">
        <v>35221</v>
      </c>
      <c r="G863" s="360">
        <v>35358</v>
      </c>
      <c r="H863" s="360">
        <v>35469</v>
      </c>
    </row>
    <row r="864" spans="1:8" x14ac:dyDescent="0.2">
      <c r="A864" s="359" t="s">
        <v>2071</v>
      </c>
      <c r="B864" s="359"/>
      <c r="C864" s="359" t="s">
        <v>2072</v>
      </c>
      <c r="D864" s="360">
        <v>26015</v>
      </c>
      <c r="E864" s="360">
        <v>26015</v>
      </c>
      <c r="F864" s="360">
        <v>26004</v>
      </c>
      <c r="G864" s="360">
        <v>25757</v>
      </c>
      <c r="H864" s="360">
        <v>25725</v>
      </c>
    </row>
    <row r="865" spans="1:8" x14ac:dyDescent="0.2">
      <c r="A865" s="359" t="s">
        <v>2073</v>
      </c>
      <c r="B865" s="359"/>
      <c r="C865" s="359" t="s">
        <v>2074</v>
      </c>
      <c r="D865" s="360">
        <v>36324</v>
      </c>
      <c r="E865" s="360">
        <v>36324</v>
      </c>
      <c r="F865" s="360">
        <v>36494</v>
      </c>
      <c r="G865" s="360">
        <v>37425</v>
      </c>
      <c r="H865" s="360">
        <v>38003</v>
      </c>
    </row>
    <row r="866" spans="1:8" x14ac:dyDescent="0.2">
      <c r="A866" s="359" t="s">
        <v>2075</v>
      </c>
      <c r="B866" s="359"/>
      <c r="C866" s="359" t="s">
        <v>2076</v>
      </c>
      <c r="D866" s="360">
        <v>94528</v>
      </c>
      <c r="E866" s="360">
        <v>94517</v>
      </c>
      <c r="F866" s="360">
        <v>94367</v>
      </c>
      <c r="G866" s="360">
        <v>94487</v>
      </c>
      <c r="H866" s="360">
        <v>94428</v>
      </c>
    </row>
    <row r="867" spans="1:8" x14ac:dyDescent="0.2">
      <c r="A867" s="359" t="s">
        <v>2077</v>
      </c>
      <c r="B867" s="359"/>
      <c r="C867" s="359" t="s">
        <v>2078</v>
      </c>
      <c r="D867" s="360">
        <v>34895</v>
      </c>
      <c r="E867" s="360">
        <v>34895</v>
      </c>
      <c r="F867" s="360">
        <v>34820</v>
      </c>
      <c r="G867" s="360">
        <v>34280</v>
      </c>
      <c r="H867" s="360">
        <v>33658</v>
      </c>
    </row>
    <row r="868" spans="1:8" x14ac:dyDescent="0.2">
      <c r="A868" s="359" t="s">
        <v>2079</v>
      </c>
      <c r="B868" s="359"/>
      <c r="C868" s="359" t="s">
        <v>2080</v>
      </c>
      <c r="D868" s="360">
        <v>15216</v>
      </c>
      <c r="E868" s="360">
        <v>15217</v>
      </c>
      <c r="F868" s="360">
        <v>15232</v>
      </c>
      <c r="G868" s="360">
        <v>15145</v>
      </c>
      <c r="H868" s="360">
        <v>14924</v>
      </c>
    </row>
    <row r="869" spans="1:8" x14ac:dyDescent="0.2">
      <c r="A869" s="359" t="s">
        <v>2081</v>
      </c>
      <c r="B869" s="359"/>
      <c r="C869" s="359" t="s">
        <v>2082</v>
      </c>
      <c r="D869" s="360">
        <v>46987</v>
      </c>
      <c r="E869" s="360">
        <v>46986</v>
      </c>
      <c r="F869" s="360">
        <v>47164</v>
      </c>
      <c r="G869" s="360">
        <v>47804</v>
      </c>
      <c r="H869" s="360">
        <v>48150</v>
      </c>
    </row>
    <row r="870" spans="1:8" x14ac:dyDescent="0.2">
      <c r="A870" s="359" t="s">
        <v>2083</v>
      </c>
      <c r="B870" s="359"/>
      <c r="C870" s="359" t="s">
        <v>2084</v>
      </c>
      <c r="D870" s="360">
        <v>93830</v>
      </c>
      <c r="E870" s="360">
        <v>93835</v>
      </c>
      <c r="F870" s="360">
        <v>93572</v>
      </c>
      <c r="G870" s="360">
        <v>92883</v>
      </c>
      <c r="H870" s="360">
        <v>92728</v>
      </c>
    </row>
    <row r="871" spans="1:8" x14ac:dyDescent="0.2">
      <c r="A871" s="359" t="s">
        <v>2085</v>
      </c>
      <c r="B871" s="359"/>
      <c r="C871" s="359" t="s">
        <v>2086</v>
      </c>
      <c r="D871" s="360">
        <v>32937</v>
      </c>
      <c r="E871" s="360">
        <v>32937</v>
      </c>
      <c r="F871" s="360">
        <v>32909</v>
      </c>
      <c r="G871" s="360">
        <v>32927</v>
      </c>
      <c r="H871" s="360">
        <v>32779</v>
      </c>
    </row>
    <row r="872" spans="1:8" x14ac:dyDescent="0.2">
      <c r="A872" s="359" t="s">
        <v>2087</v>
      </c>
      <c r="B872" s="359"/>
      <c r="C872" s="359" t="s">
        <v>2088</v>
      </c>
      <c r="D872" s="360">
        <v>34800</v>
      </c>
      <c r="E872" s="360">
        <v>34800</v>
      </c>
      <c r="F872" s="360">
        <v>34795</v>
      </c>
      <c r="G872" s="360">
        <v>34810</v>
      </c>
      <c r="H872" s="360">
        <v>34638</v>
      </c>
    </row>
    <row r="873" spans="1:8" x14ac:dyDescent="0.2">
      <c r="A873" s="359" t="s">
        <v>2089</v>
      </c>
      <c r="B873" s="359"/>
      <c r="C873" s="359" t="s">
        <v>2090</v>
      </c>
      <c r="D873" s="360">
        <v>25213</v>
      </c>
      <c r="E873" s="360">
        <v>25213</v>
      </c>
      <c r="F873" s="360">
        <v>25254</v>
      </c>
      <c r="G873" s="360">
        <v>25228</v>
      </c>
      <c r="H873" s="360">
        <v>25487</v>
      </c>
    </row>
    <row r="874" spans="1:8" x14ac:dyDescent="0.2">
      <c r="A874" s="359" t="s">
        <v>2091</v>
      </c>
      <c r="B874" s="359"/>
      <c r="C874" s="359" t="s">
        <v>2092</v>
      </c>
      <c r="D874" s="360">
        <v>27153</v>
      </c>
      <c r="E874" s="360">
        <v>27153</v>
      </c>
      <c r="F874" s="360">
        <v>27047</v>
      </c>
      <c r="G874" s="360">
        <v>26947</v>
      </c>
      <c r="H874" s="360">
        <v>26630</v>
      </c>
    </row>
    <row r="875" spans="1:8" x14ac:dyDescent="0.2">
      <c r="A875" s="359" t="s">
        <v>2093</v>
      </c>
      <c r="B875" s="359"/>
      <c r="C875" s="359" t="s">
        <v>2094</v>
      </c>
      <c r="D875" s="360">
        <v>44720</v>
      </c>
      <c r="E875" s="360">
        <v>44719</v>
      </c>
      <c r="F875" s="360">
        <v>44810</v>
      </c>
      <c r="G875" s="360">
        <v>44724</v>
      </c>
      <c r="H875" s="360">
        <v>44724</v>
      </c>
    </row>
    <row r="876" spans="1:8" x14ac:dyDescent="0.2">
      <c r="A876" s="359" t="s">
        <v>2095</v>
      </c>
      <c r="B876" s="359"/>
      <c r="C876" s="359" t="s">
        <v>2096</v>
      </c>
      <c r="D876" s="360">
        <v>56745</v>
      </c>
      <c r="E876" s="360">
        <v>56745</v>
      </c>
      <c r="F876" s="360">
        <v>56632</v>
      </c>
      <c r="G876" s="360">
        <v>56403</v>
      </c>
      <c r="H876" s="360">
        <v>56018</v>
      </c>
    </row>
    <row r="877" spans="1:8" x14ac:dyDescent="0.2">
      <c r="A877" s="359" t="s">
        <v>2097</v>
      </c>
      <c r="B877" s="359"/>
      <c r="C877" s="359" t="s">
        <v>2098</v>
      </c>
      <c r="D877" s="360">
        <v>40118</v>
      </c>
      <c r="E877" s="360">
        <v>40122</v>
      </c>
      <c r="F877" s="360">
        <v>40210</v>
      </c>
      <c r="G877" s="360">
        <v>41320</v>
      </c>
      <c r="H877" s="360">
        <v>41064</v>
      </c>
    </row>
    <row r="878" spans="1:8" x14ac:dyDescent="0.2">
      <c r="A878" s="359" t="s">
        <v>2099</v>
      </c>
      <c r="B878" s="359"/>
      <c r="C878" s="359" t="s">
        <v>2100</v>
      </c>
      <c r="D878" s="360">
        <v>26175</v>
      </c>
      <c r="E878" s="360">
        <v>26175</v>
      </c>
      <c r="F878" s="360">
        <v>26191</v>
      </c>
      <c r="G878" s="360">
        <v>25858</v>
      </c>
      <c r="H878" s="360">
        <v>25891</v>
      </c>
    </row>
    <row r="879" spans="1:8" x14ac:dyDescent="0.2">
      <c r="A879" s="359" t="s">
        <v>2101</v>
      </c>
      <c r="B879" s="359"/>
      <c r="C879" s="359" t="s">
        <v>2102</v>
      </c>
      <c r="D879" s="360">
        <v>189927</v>
      </c>
      <c r="E879" s="360">
        <v>189927</v>
      </c>
      <c r="F879" s="360">
        <v>189741</v>
      </c>
      <c r="G879" s="360">
        <v>188923</v>
      </c>
      <c r="H879" s="360">
        <v>187530</v>
      </c>
    </row>
    <row r="880" spans="1:8" x14ac:dyDescent="0.2">
      <c r="A880" s="359" t="s">
        <v>2103</v>
      </c>
      <c r="B880" s="359"/>
      <c r="C880" s="359" t="s">
        <v>2104</v>
      </c>
      <c r="D880" s="360">
        <v>143372</v>
      </c>
      <c r="E880" s="360">
        <v>143372</v>
      </c>
      <c r="F880" s="360">
        <v>143361</v>
      </c>
      <c r="G880" s="360">
        <v>144585</v>
      </c>
      <c r="H880" s="360">
        <v>145283</v>
      </c>
    </row>
    <row r="881" spans="1:8" x14ac:dyDescent="0.2">
      <c r="A881" s="359" t="s">
        <v>2105</v>
      </c>
      <c r="B881" s="359"/>
      <c r="C881" s="359" t="s">
        <v>2106</v>
      </c>
      <c r="D881" s="360">
        <v>32899</v>
      </c>
      <c r="E881" s="360">
        <v>32899</v>
      </c>
      <c r="F881" s="360">
        <v>32964</v>
      </c>
      <c r="G881" s="360">
        <v>32893</v>
      </c>
      <c r="H881" s="360">
        <v>33182</v>
      </c>
    </row>
    <row r="882" spans="1:8" x14ac:dyDescent="0.2">
      <c r="A882" s="359" t="s">
        <v>2107</v>
      </c>
      <c r="B882" s="359"/>
      <c r="C882" s="359" t="s">
        <v>2108</v>
      </c>
      <c r="D882" s="360">
        <v>98764</v>
      </c>
      <c r="E882" s="360">
        <v>98764</v>
      </c>
      <c r="F882" s="360">
        <v>98787</v>
      </c>
      <c r="G882" s="360">
        <v>98737</v>
      </c>
      <c r="H882" s="360">
        <v>98292</v>
      </c>
    </row>
    <row r="883" spans="1:8" x14ac:dyDescent="0.2">
      <c r="A883" s="359" t="s">
        <v>2109</v>
      </c>
      <c r="B883" s="359"/>
      <c r="C883" s="359" t="s">
        <v>2110</v>
      </c>
      <c r="D883" s="360">
        <v>100210</v>
      </c>
      <c r="E883" s="360">
        <v>100210</v>
      </c>
      <c r="F883" s="360">
        <v>100144</v>
      </c>
      <c r="G883" s="360">
        <v>100251</v>
      </c>
      <c r="H883" s="360">
        <v>100333</v>
      </c>
    </row>
    <row r="884" spans="1:8" x14ac:dyDescent="0.2">
      <c r="A884" s="359" t="s">
        <v>2111</v>
      </c>
      <c r="B884" s="359"/>
      <c r="C884" s="359" t="s">
        <v>2112</v>
      </c>
      <c r="D884" s="360">
        <v>136268</v>
      </c>
      <c r="E884" s="360">
        <v>136268</v>
      </c>
      <c r="F884" s="360">
        <v>136397</v>
      </c>
      <c r="G884" s="360">
        <v>137498</v>
      </c>
      <c r="H884" s="360">
        <v>138976</v>
      </c>
    </row>
    <row r="885" spans="1:8" x14ac:dyDescent="0.2">
      <c r="A885" s="359" t="s">
        <v>2113</v>
      </c>
      <c r="B885" s="359"/>
      <c r="C885" s="359" t="s">
        <v>2114</v>
      </c>
      <c r="D885" s="360">
        <v>99604</v>
      </c>
      <c r="E885" s="360">
        <v>99604</v>
      </c>
      <c r="F885" s="360">
        <v>99977</v>
      </c>
      <c r="G885" s="360">
        <v>100570</v>
      </c>
      <c r="H885" s="360">
        <v>101094</v>
      </c>
    </row>
    <row r="886" spans="1:8" x14ac:dyDescent="0.2">
      <c r="A886" s="359" t="s">
        <v>2115</v>
      </c>
      <c r="B886" s="359"/>
      <c r="C886" s="359" t="s">
        <v>2116</v>
      </c>
      <c r="D886" s="360">
        <v>87841</v>
      </c>
      <c r="E886" s="360">
        <v>87841</v>
      </c>
      <c r="F886" s="360">
        <v>87776</v>
      </c>
      <c r="G886" s="360">
        <v>87489</v>
      </c>
      <c r="H886" s="360">
        <v>87428</v>
      </c>
    </row>
    <row r="887" spans="1:8" x14ac:dyDescent="0.2">
      <c r="A887" s="359" t="s">
        <v>2117</v>
      </c>
      <c r="B887" s="359"/>
      <c r="C887" s="359" t="s">
        <v>2118</v>
      </c>
      <c r="D887" s="360">
        <v>38620</v>
      </c>
      <c r="E887" s="360">
        <v>38620</v>
      </c>
      <c r="F887" s="360">
        <v>38621</v>
      </c>
      <c r="G887" s="360">
        <v>38410</v>
      </c>
      <c r="H887" s="360">
        <v>37865</v>
      </c>
    </row>
    <row r="888" spans="1:8" x14ac:dyDescent="0.2">
      <c r="A888" s="359" t="s">
        <v>2119</v>
      </c>
      <c r="B888" s="359"/>
      <c r="C888" s="359" t="s">
        <v>2120</v>
      </c>
      <c r="D888" s="360">
        <v>40097</v>
      </c>
      <c r="E888" s="360">
        <v>40097</v>
      </c>
      <c r="F888" s="360">
        <v>40003</v>
      </c>
      <c r="G888" s="360">
        <v>39813</v>
      </c>
      <c r="H888" s="360">
        <v>39565</v>
      </c>
    </row>
    <row r="889" spans="1:8" x14ac:dyDescent="0.2">
      <c r="A889" s="359" t="s">
        <v>2121</v>
      </c>
      <c r="B889" s="359"/>
      <c r="C889" s="359" t="s">
        <v>2122</v>
      </c>
      <c r="D889" s="360">
        <v>26405</v>
      </c>
      <c r="E889" s="360">
        <v>26405</v>
      </c>
      <c r="F889" s="360">
        <v>26449</v>
      </c>
      <c r="G889" s="360">
        <v>26540</v>
      </c>
      <c r="H889" s="360">
        <v>26752</v>
      </c>
    </row>
    <row r="890" spans="1:8" x14ac:dyDescent="0.2">
      <c r="A890" s="359" t="s">
        <v>2123</v>
      </c>
      <c r="B890" s="359"/>
      <c r="C890" s="359" t="s">
        <v>2124</v>
      </c>
      <c r="D890" s="360">
        <v>34215</v>
      </c>
      <c r="E890" s="360">
        <v>34215</v>
      </c>
      <c r="F890" s="360">
        <v>34125</v>
      </c>
      <c r="G890" s="360">
        <v>34005</v>
      </c>
      <c r="H890" s="360">
        <v>34064</v>
      </c>
    </row>
    <row r="891" spans="1:8" x14ac:dyDescent="0.2">
      <c r="A891" s="359" t="s">
        <v>2125</v>
      </c>
      <c r="B891" s="359"/>
      <c r="C891" s="359" t="s">
        <v>2126</v>
      </c>
      <c r="D891" s="360">
        <v>28744</v>
      </c>
      <c r="E891" s="360">
        <v>28744</v>
      </c>
      <c r="F891" s="360">
        <v>28671</v>
      </c>
      <c r="G891" s="360">
        <v>28702</v>
      </c>
      <c r="H891" s="360">
        <v>28744</v>
      </c>
    </row>
    <row r="892" spans="1:8" x14ac:dyDescent="0.2">
      <c r="A892" s="359" t="s">
        <v>2127</v>
      </c>
      <c r="B892" s="359"/>
      <c r="C892" s="359" t="s">
        <v>2128</v>
      </c>
      <c r="D892" s="360">
        <v>13864</v>
      </c>
      <c r="E892" s="360">
        <v>13864</v>
      </c>
      <c r="F892" s="360">
        <v>13850</v>
      </c>
      <c r="G892" s="360">
        <v>14044</v>
      </c>
      <c r="H892" s="360">
        <v>14131</v>
      </c>
    </row>
    <row r="893" spans="1:8" x14ac:dyDescent="0.2">
      <c r="A893" s="359" t="s">
        <v>2129</v>
      </c>
      <c r="B893" s="359"/>
      <c r="C893" s="359" t="s">
        <v>2130</v>
      </c>
      <c r="D893" s="360">
        <v>32588</v>
      </c>
      <c r="E893" s="360">
        <v>32586</v>
      </c>
      <c r="F893" s="360">
        <v>32413</v>
      </c>
      <c r="G893" s="360">
        <v>33170</v>
      </c>
      <c r="H893" s="360">
        <v>34524</v>
      </c>
    </row>
    <row r="894" spans="1:8" x14ac:dyDescent="0.2">
      <c r="A894" s="359" t="s">
        <v>2131</v>
      </c>
      <c r="B894" s="359"/>
      <c r="C894" s="359" t="s">
        <v>2132</v>
      </c>
      <c r="D894" s="360">
        <v>13535</v>
      </c>
      <c r="E894" s="360">
        <v>13535</v>
      </c>
      <c r="F894" s="360">
        <v>13496</v>
      </c>
      <c r="G894" s="360">
        <v>13422</v>
      </c>
      <c r="H894" s="360">
        <v>13258</v>
      </c>
    </row>
    <row r="895" spans="1:8" x14ac:dyDescent="0.2">
      <c r="A895" s="359" t="s">
        <v>2133</v>
      </c>
      <c r="B895" s="359"/>
      <c r="C895" s="359" t="s">
        <v>2134</v>
      </c>
      <c r="D895" s="360">
        <v>58377</v>
      </c>
      <c r="E895" s="360">
        <v>58371</v>
      </c>
      <c r="F895" s="360">
        <v>58332</v>
      </c>
      <c r="G895" s="360">
        <v>57966</v>
      </c>
      <c r="H895" s="360">
        <v>57433</v>
      </c>
    </row>
    <row r="896" spans="1:8" x14ac:dyDescent="0.2">
      <c r="A896" s="359" t="s">
        <v>2135</v>
      </c>
      <c r="B896" s="359"/>
      <c r="C896" s="359" t="s">
        <v>2136</v>
      </c>
      <c r="D896" s="360">
        <v>36346</v>
      </c>
      <c r="E896" s="360">
        <v>36346</v>
      </c>
      <c r="F896" s="360">
        <v>36404</v>
      </c>
      <c r="G896" s="360">
        <v>36328</v>
      </c>
      <c r="H896" s="360">
        <v>36228</v>
      </c>
    </row>
    <row r="897" spans="1:8" x14ac:dyDescent="0.2">
      <c r="A897" s="359" t="s">
        <v>2137</v>
      </c>
      <c r="B897" s="359"/>
      <c r="C897" s="359" t="s">
        <v>2138</v>
      </c>
      <c r="D897" s="360">
        <v>38440</v>
      </c>
      <c r="E897" s="360">
        <v>38440</v>
      </c>
      <c r="F897" s="360">
        <v>38393</v>
      </c>
      <c r="G897" s="360">
        <v>38450</v>
      </c>
      <c r="H897" s="360">
        <v>38122</v>
      </c>
    </row>
    <row r="898" spans="1:8" x14ac:dyDescent="0.2">
      <c r="A898" s="359" t="s">
        <v>2139</v>
      </c>
      <c r="B898" s="359"/>
      <c r="C898" s="359" t="s">
        <v>2140</v>
      </c>
      <c r="D898" s="360">
        <v>16535</v>
      </c>
      <c r="E898" s="360">
        <v>16535</v>
      </c>
      <c r="F898" s="360">
        <v>16574</v>
      </c>
      <c r="G898" s="360">
        <v>16787</v>
      </c>
      <c r="H898" s="360">
        <v>17041</v>
      </c>
    </row>
    <row r="899" spans="1:8" x14ac:dyDescent="0.2">
      <c r="A899" s="359" t="s">
        <v>2141</v>
      </c>
      <c r="B899" s="359"/>
      <c r="C899" s="359" t="s">
        <v>2142</v>
      </c>
      <c r="D899" s="360">
        <v>32888</v>
      </c>
      <c r="E899" s="360">
        <v>32888</v>
      </c>
      <c r="F899" s="360">
        <v>32829</v>
      </c>
      <c r="G899" s="360">
        <v>32554</v>
      </c>
      <c r="H899" s="360">
        <v>32361</v>
      </c>
    </row>
    <row r="900" spans="1:8" x14ac:dyDescent="0.2">
      <c r="A900" s="359" t="s">
        <v>2143</v>
      </c>
      <c r="B900" s="359"/>
      <c r="C900" s="359" t="s">
        <v>2144</v>
      </c>
      <c r="D900" s="360">
        <v>22897</v>
      </c>
      <c r="E900" s="360">
        <v>22897</v>
      </c>
      <c r="F900" s="360">
        <v>22902</v>
      </c>
      <c r="G900" s="360">
        <v>22839</v>
      </c>
      <c r="H900" s="360">
        <v>22802</v>
      </c>
    </row>
    <row r="901" spans="1:8" x14ac:dyDescent="0.2">
      <c r="A901" s="359" t="s">
        <v>2145</v>
      </c>
      <c r="B901" s="359"/>
      <c r="C901" s="359" t="s">
        <v>2146</v>
      </c>
      <c r="D901" s="360">
        <v>45949</v>
      </c>
      <c r="E901" s="360">
        <v>45949</v>
      </c>
      <c r="F901" s="360">
        <v>45921</v>
      </c>
      <c r="G901" s="360">
        <v>45757</v>
      </c>
      <c r="H901" s="360">
        <v>45831</v>
      </c>
    </row>
    <row r="902" spans="1:8" x14ac:dyDescent="0.2">
      <c r="A902" s="359" t="s">
        <v>2147</v>
      </c>
      <c r="B902" s="359"/>
      <c r="C902" s="359" t="s">
        <v>2148</v>
      </c>
      <c r="D902" s="360">
        <v>41815</v>
      </c>
      <c r="E902" s="360">
        <v>41815</v>
      </c>
      <c r="F902" s="360">
        <v>41756</v>
      </c>
      <c r="G902" s="360">
        <v>41480</v>
      </c>
      <c r="H902" s="360">
        <v>41146</v>
      </c>
    </row>
    <row r="903" spans="1:8" x14ac:dyDescent="0.2">
      <c r="A903" s="359" t="s">
        <v>2149</v>
      </c>
      <c r="B903" s="359"/>
      <c r="C903" s="359" t="s">
        <v>2150</v>
      </c>
      <c r="D903" s="360">
        <v>52595</v>
      </c>
      <c r="E903" s="360">
        <v>52595</v>
      </c>
      <c r="F903" s="360">
        <v>52701</v>
      </c>
      <c r="G903" s="360">
        <v>53482</v>
      </c>
      <c r="H903" s="360">
        <v>54397</v>
      </c>
    </row>
    <row r="904" spans="1:8" x14ac:dyDescent="0.2">
      <c r="A904" s="359" t="s">
        <v>2151</v>
      </c>
      <c r="B904" s="359"/>
      <c r="C904" s="359" t="s">
        <v>2152</v>
      </c>
      <c r="D904" s="360">
        <v>77358</v>
      </c>
      <c r="E904" s="360">
        <v>77356</v>
      </c>
      <c r="F904" s="360">
        <v>77323</v>
      </c>
      <c r="G904" s="360">
        <v>77356</v>
      </c>
      <c r="H904" s="360">
        <v>77609</v>
      </c>
    </row>
    <row r="905" spans="1:8" x14ac:dyDescent="0.2">
      <c r="A905" s="359" t="s">
        <v>2153</v>
      </c>
      <c r="B905" s="359"/>
      <c r="C905" s="359" t="s">
        <v>2154</v>
      </c>
      <c r="D905" s="360">
        <v>31648</v>
      </c>
      <c r="E905" s="360">
        <v>31654</v>
      </c>
      <c r="F905" s="360">
        <v>31726</v>
      </c>
      <c r="G905" s="360">
        <v>31896</v>
      </c>
      <c r="H905" s="360">
        <v>32064</v>
      </c>
    </row>
    <row r="906" spans="1:8" x14ac:dyDescent="0.2">
      <c r="A906" s="359" t="s">
        <v>2155</v>
      </c>
      <c r="B906" s="359"/>
      <c r="C906" s="359" t="s">
        <v>2156</v>
      </c>
      <c r="D906" s="360">
        <v>47759</v>
      </c>
      <c r="E906" s="360">
        <v>47770</v>
      </c>
      <c r="F906" s="360">
        <v>47766</v>
      </c>
      <c r="G906" s="360">
        <v>47655</v>
      </c>
      <c r="H906" s="360">
        <v>47507</v>
      </c>
    </row>
    <row r="907" spans="1:8" x14ac:dyDescent="0.2">
      <c r="A907" s="359" t="s">
        <v>2157</v>
      </c>
      <c r="B907" s="359"/>
      <c r="C907" s="359" t="s">
        <v>2158</v>
      </c>
      <c r="D907" s="360">
        <v>29030</v>
      </c>
      <c r="E907" s="360">
        <v>29030</v>
      </c>
      <c r="F907" s="360">
        <v>29030</v>
      </c>
      <c r="G907" s="360">
        <v>28921</v>
      </c>
      <c r="H907" s="360">
        <v>28880</v>
      </c>
    </row>
    <row r="908" spans="1:8" x14ac:dyDescent="0.2">
      <c r="A908" s="359" t="s">
        <v>2159</v>
      </c>
      <c r="B908" s="359"/>
      <c r="C908" s="359" t="s">
        <v>2160</v>
      </c>
      <c r="D908" s="360">
        <v>27227</v>
      </c>
      <c r="E908" s="360">
        <v>27227</v>
      </c>
      <c r="F908" s="360">
        <v>27223</v>
      </c>
      <c r="G908" s="360">
        <v>27413</v>
      </c>
      <c r="H908" s="360">
        <v>27606</v>
      </c>
    </row>
    <row r="909" spans="1:8" x14ac:dyDescent="0.2">
      <c r="A909" s="359" t="s">
        <v>2161</v>
      </c>
      <c r="B909" s="359"/>
      <c r="C909" s="359" t="s">
        <v>2162</v>
      </c>
      <c r="D909" s="360">
        <v>83686</v>
      </c>
      <c r="E909" s="360">
        <v>83686</v>
      </c>
      <c r="F909" s="360">
        <v>83678</v>
      </c>
      <c r="G909" s="360">
        <v>83961</v>
      </c>
      <c r="H909" s="360">
        <v>84498</v>
      </c>
    </row>
    <row r="910" spans="1:8" x14ac:dyDescent="0.2">
      <c r="A910" s="359" t="s">
        <v>2163</v>
      </c>
      <c r="B910" s="359"/>
      <c r="C910" s="359" t="s">
        <v>2164</v>
      </c>
      <c r="D910" s="360">
        <v>27731</v>
      </c>
      <c r="E910" s="360">
        <v>27731</v>
      </c>
      <c r="F910" s="360">
        <v>27266</v>
      </c>
      <c r="G910" s="360">
        <v>26693</v>
      </c>
      <c r="H910" s="360">
        <v>27514</v>
      </c>
    </row>
    <row r="911" spans="1:8" x14ac:dyDescent="0.2">
      <c r="A911" s="359" t="s">
        <v>2165</v>
      </c>
      <c r="B911" s="359"/>
      <c r="C911" s="359" t="s">
        <v>2166</v>
      </c>
      <c r="D911" s="360">
        <v>55070</v>
      </c>
      <c r="E911" s="360">
        <v>55064</v>
      </c>
      <c r="F911" s="360">
        <v>55243</v>
      </c>
      <c r="G911" s="360">
        <v>54921</v>
      </c>
      <c r="H911" s="360">
        <v>54665</v>
      </c>
    </row>
    <row r="912" spans="1:8" x14ac:dyDescent="0.2">
      <c r="A912" s="359" t="s">
        <v>2167</v>
      </c>
      <c r="B912" s="359"/>
      <c r="C912" s="359" t="s">
        <v>2168</v>
      </c>
      <c r="D912" s="360">
        <v>27469</v>
      </c>
      <c r="E912" s="360">
        <v>27469</v>
      </c>
      <c r="F912" s="360">
        <v>27514</v>
      </c>
      <c r="G912" s="360">
        <v>27764</v>
      </c>
      <c r="H912" s="360">
        <v>28536</v>
      </c>
    </row>
    <row r="913" spans="1:8" x14ac:dyDescent="0.2">
      <c r="A913" s="359" t="s">
        <v>2169</v>
      </c>
      <c r="B913" s="359"/>
      <c r="C913" s="359" t="s">
        <v>2170</v>
      </c>
      <c r="D913" s="360">
        <v>40400</v>
      </c>
      <c r="E913" s="360">
        <v>40400</v>
      </c>
      <c r="F913" s="360">
        <v>40584</v>
      </c>
      <c r="G913" s="360">
        <v>40610</v>
      </c>
      <c r="H913" s="360">
        <v>40629</v>
      </c>
    </row>
    <row r="914" spans="1:8" x14ac:dyDescent="0.2">
      <c r="A914" s="359" t="s">
        <v>2171</v>
      </c>
      <c r="B914" s="359"/>
      <c r="C914" s="359" t="s">
        <v>2172</v>
      </c>
      <c r="D914" s="360">
        <v>102228</v>
      </c>
      <c r="E914" s="360">
        <v>102228</v>
      </c>
      <c r="F914" s="360">
        <v>102167</v>
      </c>
      <c r="G914" s="360">
        <v>102538</v>
      </c>
      <c r="H914" s="360">
        <v>102851</v>
      </c>
    </row>
    <row r="915" spans="1:8" x14ac:dyDescent="0.2">
      <c r="A915" s="359" t="s">
        <v>2173</v>
      </c>
      <c r="B915" s="359"/>
      <c r="C915" s="359" t="s">
        <v>2174</v>
      </c>
      <c r="D915" s="360">
        <v>22398</v>
      </c>
      <c r="E915" s="360">
        <v>22398</v>
      </c>
      <c r="F915" s="360">
        <v>22575</v>
      </c>
      <c r="G915" s="360">
        <v>24416</v>
      </c>
      <c r="H915" s="360">
        <v>26697</v>
      </c>
    </row>
    <row r="916" spans="1:8" x14ac:dyDescent="0.2">
      <c r="A916" s="359" t="s">
        <v>2175</v>
      </c>
      <c r="B916" s="359"/>
      <c r="C916" s="359" t="s">
        <v>2176</v>
      </c>
      <c r="D916" s="360">
        <v>42239</v>
      </c>
      <c r="E916" s="360">
        <v>42239</v>
      </c>
      <c r="F916" s="360">
        <v>42252</v>
      </c>
      <c r="G916" s="360">
        <v>42222</v>
      </c>
      <c r="H916" s="360">
        <v>42379</v>
      </c>
    </row>
    <row r="917" spans="1:8" x14ac:dyDescent="0.2">
      <c r="A917" s="359" t="s">
        <v>2177</v>
      </c>
      <c r="B917" s="359"/>
      <c r="C917" s="359" t="s">
        <v>2178</v>
      </c>
      <c r="D917" s="360">
        <v>42040</v>
      </c>
      <c r="E917" s="360">
        <v>42040</v>
      </c>
      <c r="F917" s="360">
        <v>41890</v>
      </c>
      <c r="G917" s="360">
        <v>41955</v>
      </c>
      <c r="H917" s="360">
        <v>41886</v>
      </c>
    </row>
    <row r="918" spans="1:8" x14ac:dyDescent="0.2">
      <c r="A918" s="359" t="s">
        <v>2179</v>
      </c>
      <c r="B918" s="359"/>
      <c r="C918" s="359" t="s">
        <v>2180</v>
      </c>
      <c r="D918" s="360">
        <v>81234</v>
      </c>
      <c r="E918" s="360">
        <v>81234</v>
      </c>
      <c r="F918" s="360">
        <v>81300</v>
      </c>
      <c r="G918" s="360">
        <v>81479</v>
      </c>
      <c r="H918" s="360">
        <v>81867</v>
      </c>
    </row>
    <row r="919" spans="1:8" x14ac:dyDescent="0.2">
      <c r="A919" s="359" t="s">
        <v>2181</v>
      </c>
      <c r="B919" s="359"/>
      <c r="C919" s="359" t="s">
        <v>2182</v>
      </c>
      <c r="D919" s="360">
        <v>16528</v>
      </c>
      <c r="E919" s="360">
        <v>16529</v>
      </c>
      <c r="F919" s="360">
        <v>16604</v>
      </c>
      <c r="G919" s="360">
        <v>16653</v>
      </c>
      <c r="H919" s="360">
        <v>17048</v>
      </c>
    </row>
    <row r="920" spans="1:8" x14ac:dyDescent="0.2">
      <c r="A920" s="359" t="s">
        <v>2183</v>
      </c>
      <c r="B920" s="359"/>
      <c r="C920" s="359" t="s">
        <v>2184</v>
      </c>
      <c r="D920" s="360">
        <v>51461</v>
      </c>
      <c r="E920" s="360">
        <v>51461</v>
      </c>
      <c r="F920" s="360">
        <v>51390</v>
      </c>
      <c r="G920" s="360">
        <v>51506</v>
      </c>
      <c r="H920" s="360">
        <v>51629</v>
      </c>
    </row>
    <row r="921" spans="1:8" x14ac:dyDescent="0.2">
      <c r="A921" s="359" t="s">
        <v>2185</v>
      </c>
      <c r="B921" s="359"/>
      <c r="C921" s="359" t="s">
        <v>2186</v>
      </c>
      <c r="D921" s="360">
        <v>74749</v>
      </c>
      <c r="E921" s="360">
        <v>74749</v>
      </c>
      <c r="F921" s="360">
        <v>74768</v>
      </c>
      <c r="G921" s="360">
        <v>74619</v>
      </c>
      <c r="H921" s="360">
        <v>74424</v>
      </c>
    </row>
    <row r="922" spans="1:8" x14ac:dyDescent="0.2">
      <c r="A922" s="359" t="s">
        <v>2187</v>
      </c>
      <c r="B922" s="359"/>
      <c r="C922" s="359" t="s">
        <v>2188</v>
      </c>
      <c r="D922" s="360">
        <v>20081</v>
      </c>
      <c r="E922" s="360">
        <v>20081</v>
      </c>
      <c r="F922" s="360">
        <v>19971</v>
      </c>
      <c r="G922" s="360">
        <v>20055</v>
      </c>
      <c r="H922" s="360">
        <v>20548</v>
      </c>
    </row>
    <row r="923" spans="1:8" x14ac:dyDescent="0.2">
      <c r="A923" s="359" t="s">
        <v>2189</v>
      </c>
      <c r="B923" s="359"/>
      <c r="C923" s="359" t="s">
        <v>2190</v>
      </c>
      <c r="D923" s="360">
        <v>114520</v>
      </c>
      <c r="E923" s="360">
        <v>114515</v>
      </c>
      <c r="F923" s="360">
        <v>114480</v>
      </c>
      <c r="G923" s="360">
        <v>114694</v>
      </c>
      <c r="H923" s="360">
        <v>114848</v>
      </c>
    </row>
    <row r="924" spans="1:8" x14ac:dyDescent="0.2">
      <c r="A924" s="359" t="s">
        <v>2191</v>
      </c>
      <c r="B924" s="359"/>
      <c r="C924" s="359" t="s">
        <v>2192</v>
      </c>
      <c r="D924" s="360">
        <v>21378</v>
      </c>
      <c r="E924" s="360">
        <v>21378</v>
      </c>
      <c r="F924" s="360">
        <v>21367</v>
      </c>
      <c r="G924" s="360">
        <v>21446</v>
      </c>
      <c r="H924" s="360">
        <v>21487</v>
      </c>
    </row>
    <row r="925" spans="1:8" x14ac:dyDescent="0.2">
      <c r="A925" s="359" t="s">
        <v>2193</v>
      </c>
      <c r="B925" s="359"/>
      <c r="C925" s="359" t="s">
        <v>2194</v>
      </c>
      <c r="D925" s="360">
        <v>22438</v>
      </c>
      <c r="E925" s="360">
        <v>22438</v>
      </c>
      <c r="F925" s="360">
        <v>22457</v>
      </c>
      <c r="G925" s="360">
        <v>22510</v>
      </c>
      <c r="H925" s="360">
        <v>22603</v>
      </c>
    </row>
    <row r="926" spans="1:8" x14ac:dyDescent="0.2">
      <c r="A926" s="359" t="s">
        <v>2195</v>
      </c>
      <c r="B926" s="359"/>
      <c r="C926" s="359" t="s">
        <v>2196</v>
      </c>
      <c r="D926" s="360">
        <v>86074</v>
      </c>
      <c r="E926" s="360">
        <v>86074</v>
      </c>
      <c r="F926" s="360">
        <v>86200</v>
      </c>
      <c r="G926" s="360">
        <v>86176</v>
      </c>
      <c r="H926" s="360">
        <v>85950</v>
      </c>
    </row>
    <row r="927" spans="1:8" x14ac:dyDescent="0.2">
      <c r="A927" s="364" t="s">
        <v>2197</v>
      </c>
      <c r="B927" s="364"/>
      <c r="C927" s="364" t="s">
        <v>2198</v>
      </c>
      <c r="D927" s="365">
        <v>14018</v>
      </c>
      <c r="E927" s="365">
        <v>14018</v>
      </c>
      <c r="F927" s="365">
        <v>14069</v>
      </c>
      <c r="G927" s="365">
        <v>14193</v>
      </c>
      <c r="H927" s="365">
        <v>14290</v>
      </c>
    </row>
    <row r="928" spans="1:8" ht="36.75" customHeight="1" x14ac:dyDescent="0.2">
      <c r="A928" s="524" t="s">
        <v>2199</v>
      </c>
      <c r="B928" s="525"/>
      <c r="C928" s="525"/>
      <c r="D928" s="525"/>
      <c r="E928" s="525"/>
      <c r="F928" s="525"/>
      <c r="G928" s="525"/>
      <c r="H928" s="525"/>
    </row>
    <row r="929" spans="1:8" ht="22.5" customHeight="1" x14ac:dyDescent="0.2">
      <c r="A929" s="526" t="s">
        <v>2200</v>
      </c>
      <c r="B929" s="527"/>
      <c r="C929" s="527"/>
      <c r="D929" s="527"/>
      <c r="E929" s="527"/>
      <c r="F929" s="527"/>
      <c r="G929" s="527"/>
      <c r="H929" s="528"/>
    </row>
    <row r="930" spans="1:8" x14ac:dyDescent="0.2">
      <c r="A930" s="529" t="s">
        <v>2201</v>
      </c>
      <c r="B930" s="530"/>
      <c r="C930" s="530"/>
      <c r="D930" s="530"/>
      <c r="E930" s="530"/>
      <c r="F930" s="530"/>
      <c r="G930" s="530"/>
      <c r="H930" s="531"/>
    </row>
    <row r="931" spans="1:8" ht="9.75" customHeight="1" x14ac:dyDescent="0.2">
      <c r="A931" s="532" t="s">
        <v>2202</v>
      </c>
      <c r="B931" s="533"/>
      <c r="C931" s="533"/>
      <c r="D931" s="533"/>
      <c r="E931" s="533"/>
      <c r="F931" s="533"/>
      <c r="G931" s="533"/>
      <c r="H931" s="534"/>
    </row>
    <row r="932" spans="1:8" ht="9.9499999999999993" customHeight="1" x14ac:dyDescent="0.2">
      <c r="A932" s="532" t="s">
        <v>2203</v>
      </c>
      <c r="B932" s="533"/>
      <c r="C932" s="533"/>
      <c r="D932" s="533"/>
      <c r="E932" s="533"/>
      <c r="F932" s="533"/>
      <c r="G932" s="533"/>
      <c r="H932" s="534"/>
    </row>
    <row r="933" spans="1:8" x14ac:dyDescent="0.2">
      <c r="A933" s="513" t="s">
        <v>2204</v>
      </c>
      <c r="B933" s="514"/>
      <c r="C933" s="514"/>
      <c r="D933" s="514"/>
      <c r="E933" s="514"/>
      <c r="F933" s="514"/>
      <c r="G933" s="514"/>
      <c r="H933" s="515"/>
    </row>
  </sheetData>
  <sortState ref="A6:H418">
    <sortCondition descending="1" ref="H6:H418"/>
  </sortState>
  <mergeCells count="9">
    <mergeCell ref="A933:H933"/>
    <mergeCell ref="A1:H1"/>
    <mergeCell ref="A3:A4"/>
    <mergeCell ref="B3:B4"/>
    <mergeCell ref="A928:H928"/>
    <mergeCell ref="A929:H929"/>
    <mergeCell ref="A930:H930"/>
    <mergeCell ref="A931:H931"/>
    <mergeCell ref="A932:H9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PFM Rev Model-Bottoms Up</vt:lpstr>
      <vt:lpstr>Valuation</vt:lpstr>
      <vt:lpstr>Store Build</vt:lpstr>
      <vt:lpstr>Company Rev Model</vt:lpstr>
      <vt:lpstr>High Growth Comps</vt:lpstr>
      <vt:lpstr>Outputs</vt:lpstr>
      <vt:lpstr>Charts</vt:lpstr>
      <vt:lpstr>Census Data</vt:lpstr>
      <vt:lpstr>Census Data (2)</vt:lpstr>
      <vt:lpstr>Macro Assumptions</vt:lpstr>
      <vt:lpstr>Theranos Market Assumptions</vt:lpstr>
      <vt:lpstr>ProForma Income Stmt</vt:lpstr>
      <vt:lpstr>Summary CF Stmt</vt:lpstr>
      <vt:lpstr>Balance Sheet</vt:lpstr>
      <vt:lpstr>DEVICE_COST_HIGH_V</vt:lpstr>
      <vt:lpstr>'Company Rev Model'!Print_Area</vt:lpstr>
      <vt:lpstr>'PFM Rev Model-Bottoms Up'!Print_Area</vt:lpstr>
    </vt:vector>
  </TitlesOfParts>
  <Company>PFM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Sriram Balasuryan</dc:creator>
  <cp:lastModifiedBy>Brian Grossman</cp:lastModifiedBy>
  <cp:lastPrinted>2014-01-27T14:43:38Z</cp:lastPrinted>
  <dcterms:created xsi:type="dcterms:W3CDTF">2014-01-10T14:43:42Z</dcterms:created>
  <dcterms:modified xsi:type="dcterms:W3CDTF">2014-01-30T04:42:47Z</dcterms:modified>
</cp:coreProperties>
</file>