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9"/>
  <workbookPr date1904="1" autoCompressPictures="0"/>
  <mc:AlternateContent xmlns:mc="http://schemas.openxmlformats.org/markup-compatibility/2006">
    <mc:Choice Requires="x15">
      <x15ac:absPath xmlns:x15ac="http://schemas.microsoft.com/office/spreadsheetml/2010/11/ac" url="N:\Elizabeth Holmes_47524.0002\TRIAL\Witness Binders\Grossman, Brian\WC Witness Binder\Exhibits\zRemove\"/>
    </mc:Choice>
  </mc:AlternateContent>
  <xr:revisionPtr revIDLastSave="0" documentId="8_{21C343ED-76B0-4369-9333-EDF2E8815842}" xr6:coauthVersionLast="36" xr6:coauthVersionMax="36" xr10:uidLastSave="{00000000-0000-0000-0000-000000000000}"/>
  <bookViews>
    <workbookView xWindow="0" yWindow="0" windowWidth="23040" windowHeight="9390" tabRatio="754" xr2:uid="{00000000-000D-0000-FFFF-FFFF00000000}"/>
  </bookViews>
  <sheets>
    <sheet name="Macro Assumptions" sheetId="2" r:id="rId1"/>
    <sheet name="Theranos Market Assumptions" sheetId="1" r:id="rId2"/>
    <sheet name="Proforma IncomeStmt" sheetId="15" r:id="rId3"/>
    <sheet name="Summary Cashflow Stmt" sheetId="16" r:id="rId4"/>
    <sheet name="Balance Sheet" sheetId="18" r:id="rId5"/>
  </sheets>
  <definedNames>
    <definedName name="AVG_RUNTIME_G1">'Macro Assumptions'!$B$9</definedName>
    <definedName name="AVG_RUNTIME_G2">'Macro Assumptions'!$B$10</definedName>
    <definedName name="D_DAY_RATE_RX_2015">'Macro Assumptions'!$C$18</definedName>
    <definedName name="DEPRECIATION">'Macro Assumptions'!$B$7</definedName>
    <definedName name="DEVICE_COST">'Macro Assumptions'!$B$5</definedName>
    <definedName name="DEVICE_COST_HIGH_V">'Macro Assumptions'!$B$6</definedName>
    <definedName name="DEVICE_DEPRECIATION">'Macro Assumptions'!$B$8</definedName>
    <definedName name="ER_PANEL_PRICE">'Macro Assumptions'!#REF!</definedName>
    <definedName name="HOSPITAL_NUM_ML_2015">'Macro Assumptions'!$C$42</definedName>
    <definedName name="ICU_ER_PANEL_PRICE">'Macro Assumptions'!$C$43</definedName>
    <definedName name="LIVESTOCK_SALE_PRICE">'Macro Assumptions'!#REF!</definedName>
    <definedName name="MANUF_3X_DEVICE">'Macro Assumptions'!#REF!</definedName>
    <definedName name="MANUF_CART">'Macro Assumptions'!#REF!</definedName>
    <definedName name="MANUF_ICU_DEVICE">'Macro Assumptions'!#REF!</definedName>
    <definedName name="MANUF_MINILAB">'Macro Assumptions'!$C$17</definedName>
    <definedName name="_xlnm.Print_Area" localSheetId="1">'Theranos Market Assumptions'!$B$1:$AG$50</definedName>
    <definedName name="REAGENT_CART">'Macro Assumptions'!#REF!</definedName>
    <definedName name="RX_COGS">'Proforma IncomeStmt'!$T$22:$U$22</definedName>
    <definedName name="RX_SALES_PRICE">'Macro Assumptions'!$C$16</definedName>
    <definedName name="TPS_DATA_SVC">'Macro Assumptions'!#REF!</definedName>
    <definedName name="TPS_REAGENT_COST">'Macro Assumptions'!#REF!</definedName>
    <definedName name="TPS_SALE_PRICE">'Macro Assumptions'!#REF!</definedName>
    <definedName name="VET_SALE_PRICE">'Macro Assumptions'!#REF!</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P5" i="1" l="1"/>
  <c r="N5" i="1"/>
  <c r="O3" i="1"/>
  <c r="P13" i="16" l="1"/>
  <c r="U48" i="1"/>
  <c r="P19" i="16" l="1"/>
  <c r="P16" i="15"/>
  <c r="M23" i="1"/>
  <c r="M24" i="1" s="1"/>
  <c r="L23" i="1"/>
  <c r="L24" i="1" s="1"/>
  <c r="K23" i="1"/>
  <c r="K24" i="1" s="1"/>
  <c r="O26" i="1"/>
  <c r="P26" i="1" s="1"/>
  <c r="Q26" i="1" s="1"/>
  <c r="R26" i="1" s="1"/>
  <c r="S26" i="1" s="1"/>
  <c r="T26" i="1" s="1"/>
  <c r="U26" i="1" s="1"/>
  <c r="V26" i="1" s="1"/>
  <c r="W26" i="1" s="1"/>
  <c r="X26" i="1" s="1"/>
  <c r="Y26" i="1" s="1"/>
  <c r="Z26" i="1" s="1"/>
  <c r="AA26" i="1" s="1"/>
  <c r="AB26" i="1" s="1"/>
  <c r="AC26" i="1" s="1"/>
  <c r="AD26" i="1" s="1"/>
  <c r="AE26" i="1" s="1"/>
  <c r="AF26" i="1" s="1"/>
  <c r="N27" i="1"/>
  <c r="N28" i="1" s="1"/>
  <c r="M27" i="1"/>
  <c r="M28" i="1" s="1"/>
  <c r="L27" i="1"/>
  <c r="L28" i="1" s="1"/>
  <c r="P3" i="1"/>
  <c r="O27" i="1" l="1"/>
  <c r="O28" i="1" s="1"/>
  <c r="N22" i="1"/>
  <c r="N23" i="1" s="1"/>
  <c r="N24" i="1" s="1"/>
  <c r="D14" i="18" l="1"/>
  <c r="D19" i="18" s="1"/>
  <c r="D25" i="18"/>
  <c r="D32" i="18" s="1"/>
  <c r="D37" i="18"/>
  <c r="D39" i="18" l="1"/>
  <c r="N7" i="1"/>
  <c r="I12" i="1" l="1"/>
  <c r="Q11" i="1"/>
  <c r="P11" i="1"/>
  <c r="O11" i="1"/>
  <c r="N11" i="1"/>
  <c r="M11" i="1"/>
  <c r="L11" i="1"/>
  <c r="K11" i="1"/>
  <c r="J11" i="1"/>
  <c r="I11" i="1"/>
  <c r="M10" i="1"/>
  <c r="L10" i="1"/>
  <c r="K10" i="1"/>
  <c r="J10" i="1"/>
  <c r="I10" i="1"/>
  <c r="S9" i="1"/>
  <c r="T9" i="1" s="1"/>
  <c r="L9" i="1"/>
  <c r="M9" i="1" s="1"/>
  <c r="K9" i="1"/>
  <c r="J9" i="1"/>
  <c r="J12" i="1" s="1"/>
  <c r="R8" i="1"/>
  <c r="R11" i="1" s="1"/>
  <c r="O7" i="1"/>
  <c r="P7" i="1" s="1"/>
  <c r="R7" i="1" s="1"/>
  <c r="S7" i="1" s="1"/>
  <c r="T7" i="1" s="1"/>
  <c r="M6" i="1"/>
  <c r="J6" i="1"/>
  <c r="I6" i="1"/>
  <c r="K5" i="1"/>
  <c r="N6" i="1"/>
  <c r="S8" i="1" l="1"/>
  <c r="S11" i="1" s="1"/>
  <c r="I13" i="1"/>
  <c r="J13" i="1"/>
  <c r="K6" i="1"/>
  <c r="K12" i="1"/>
  <c r="K13" i="1" s="1"/>
  <c r="K40" i="1" s="1"/>
  <c r="K46" i="1" s="1"/>
  <c r="N9" i="1"/>
  <c r="M12" i="1"/>
  <c r="M13" i="1" s="1"/>
  <c r="M40" i="1" s="1"/>
  <c r="L12" i="1"/>
  <c r="L13" i="1" s="1"/>
  <c r="L40" i="1" s="1"/>
  <c r="L6" i="1"/>
  <c r="N10" i="1"/>
  <c r="D38" i="15"/>
  <c r="Y40" i="15"/>
  <c r="Z40" i="15"/>
  <c r="L46" i="1" l="1"/>
  <c r="M46" i="1" s="1"/>
  <c r="T8" i="1"/>
  <c r="T11" i="1" s="1"/>
  <c r="Q5" i="1"/>
  <c r="O6" i="1"/>
  <c r="O10" i="1"/>
  <c r="N12" i="1"/>
  <c r="N13" i="1" s="1"/>
  <c r="N40" i="1" s="1"/>
  <c r="O9" i="1"/>
  <c r="N46" i="1" l="1"/>
  <c r="R12" i="1"/>
  <c r="S5" i="1"/>
  <c r="P9" i="1"/>
  <c r="O12" i="1"/>
  <c r="O13" i="1" s="1"/>
  <c r="Q3" i="1"/>
  <c r="R3" i="1" s="1"/>
  <c r="P6" i="1"/>
  <c r="P10" i="1"/>
  <c r="S12" i="1" l="1"/>
  <c r="T5" i="1"/>
  <c r="T12" i="1" s="1"/>
  <c r="Q6" i="1"/>
  <c r="Q10" i="1"/>
  <c r="Q9" i="1"/>
  <c r="Q12" i="1" s="1"/>
  <c r="P12" i="1"/>
  <c r="P13" i="1" s="1"/>
  <c r="T32" i="1"/>
  <c r="S32" i="1"/>
  <c r="R32" i="1"/>
  <c r="R10" i="1" l="1"/>
  <c r="R13" i="1" s="1"/>
  <c r="S3" i="1"/>
  <c r="R6" i="1"/>
  <c r="Q13" i="1"/>
  <c r="S10" i="1" l="1"/>
  <c r="S13" i="1" s="1"/>
  <c r="T3" i="1"/>
  <c r="S6" i="1"/>
  <c r="D35" i="15"/>
  <c r="D39" i="15"/>
  <c r="D37" i="15"/>
  <c r="D36" i="15"/>
  <c r="C20" i="15"/>
  <c r="T10" i="1" l="1"/>
  <c r="T13" i="1" s="1"/>
  <c r="T6" i="1"/>
  <c r="P12" i="16"/>
  <c r="Z30" i="1" l="1"/>
  <c r="V30" i="1" l="1"/>
  <c r="X30" i="1"/>
  <c r="U30" i="1"/>
  <c r="Y30" i="1"/>
  <c r="W30" i="1"/>
  <c r="C40" i="15" l="1"/>
  <c r="U9" i="1" l="1"/>
  <c r="V9" i="1" s="1"/>
  <c r="W9" i="1" s="1"/>
  <c r="X9" i="1" s="1"/>
  <c r="Y9" i="1" s="1"/>
  <c r="Z9" i="1" s="1"/>
  <c r="AA9" i="1" s="1"/>
  <c r="AB9" i="1" s="1"/>
  <c r="AC9" i="1" s="1"/>
  <c r="AD9" i="1" s="1"/>
  <c r="AE9" i="1" s="1"/>
  <c r="AF9" i="1" s="1"/>
  <c r="U7" i="1"/>
  <c r="V7" i="1" s="1"/>
  <c r="W7" i="1" s="1"/>
  <c r="X7" i="1" s="1"/>
  <c r="Y7" i="1" s="1"/>
  <c r="Z7" i="1" s="1"/>
  <c r="AA7" i="1" s="1"/>
  <c r="AB7" i="1" s="1"/>
  <c r="AC7" i="1" s="1"/>
  <c r="AD7" i="1" s="1"/>
  <c r="AE7" i="1" s="1"/>
  <c r="AF7" i="1" s="1"/>
  <c r="C28" i="15" l="1"/>
  <c r="V5" i="1" l="1"/>
  <c r="W5" i="1" s="1"/>
  <c r="C10" i="16" l="1"/>
  <c r="C31" i="15"/>
  <c r="C21" i="16" l="1"/>
  <c r="Q49" i="1" l="1"/>
  <c r="P49" i="1"/>
  <c r="O49" i="1"/>
  <c r="N49" i="1"/>
  <c r="M49" i="1"/>
  <c r="L49" i="1"/>
  <c r="K49" i="1"/>
  <c r="J49" i="1"/>
  <c r="I49" i="1"/>
  <c r="K26" i="15" l="1"/>
  <c r="J26" i="15"/>
  <c r="I26" i="15"/>
  <c r="H26" i="15"/>
  <c r="G26" i="15"/>
  <c r="F26" i="15"/>
  <c r="E26" i="15"/>
  <c r="D26" i="15"/>
  <c r="N26" i="15" l="1"/>
  <c r="L26" i="15"/>
  <c r="M26" i="15"/>
  <c r="O26" i="15"/>
  <c r="Q32" i="1"/>
  <c r="L15" i="15" s="1"/>
  <c r="L25" i="15" s="1"/>
  <c r="P32" i="1"/>
  <c r="K15" i="15" s="1"/>
  <c r="K25" i="15" s="1"/>
  <c r="O32" i="1"/>
  <c r="J15" i="15" s="1"/>
  <c r="J25" i="15" s="1"/>
  <c r="N32" i="1"/>
  <c r="I15" i="15" s="1"/>
  <c r="I25" i="15" s="1"/>
  <c r="M32" i="1"/>
  <c r="H15" i="15" s="1"/>
  <c r="H25" i="15" s="1"/>
  <c r="L32" i="1"/>
  <c r="G15" i="15" s="1"/>
  <c r="G25" i="15" s="1"/>
  <c r="K32" i="1"/>
  <c r="F15" i="15" s="1"/>
  <c r="F25" i="15" s="1"/>
  <c r="J32" i="1"/>
  <c r="E15" i="15" s="1"/>
  <c r="I32" i="1"/>
  <c r="D15" i="15" s="1"/>
  <c r="D25" i="15" s="1"/>
  <c r="P26" i="15" l="1"/>
  <c r="E25" i="15"/>
  <c r="C35" i="2"/>
  <c r="U8" i="1"/>
  <c r="V8" i="1" s="1"/>
  <c r="W8" i="1" s="1"/>
  <c r="X8" i="1" s="1"/>
  <c r="Y8" i="1" s="1"/>
  <c r="Z8" i="1" s="1"/>
  <c r="AA8" i="1" s="1"/>
  <c r="AB8" i="1" s="1"/>
  <c r="AC8" i="1" s="1"/>
  <c r="AD8" i="1" s="1"/>
  <c r="AE8" i="1" s="1"/>
  <c r="AF8" i="1" s="1"/>
  <c r="Q26" i="15" l="1"/>
  <c r="R49" i="1" l="1"/>
  <c r="M15" i="15" l="1"/>
  <c r="M25" i="15" l="1"/>
  <c r="D14" i="15"/>
  <c r="D24" i="15" s="1"/>
  <c r="I40" i="1" l="1"/>
  <c r="D13" i="15"/>
  <c r="D23" i="15" l="1"/>
  <c r="S49" i="1" l="1"/>
  <c r="E14" i="15"/>
  <c r="E24" i="15" s="1"/>
  <c r="N15" i="15" l="1"/>
  <c r="N25" i="15" l="1"/>
  <c r="J40" i="1" l="1"/>
  <c r="E13" i="15" l="1"/>
  <c r="E23" i="15" s="1"/>
  <c r="T49" i="1" l="1"/>
  <c r="F14" i="15"/>
  <c r="F24" i="15" s="1"/>
  <c r="AG49" i="1" l="1"/>
  <c r="AG30" i="1"/>
  <c r="AG31" i="1" l="1"/>
  <c r="AG32" i="1" l="1"/>
  <c r="O15" i="15"/>
  <c r="O25" i="15" l="1"/>
  <c r="P25" i="15" s="1"/>
  <c r="P15" i="15"/>
  <c r="F13" i="15" l="1"/>
  <c r="F23" i="15" s="1"/>
  <c r="G14" i="15" l="1"/>
  <c r="G24" i="15" s="1"/>
  <c r="U31" i="1" l="1"/>
  <c r="U49" i="1"/>
  <c r="U32" i="1" l="1"/>
  <c r="G13" i="15" l="1"/>
  <c r="G23" i="15" s="1"/>
  <c r="W11" i="1"/>
  <c r="C11" i="1"/>
  <c r="C8" i="1"/>
  <c r="C9" i="1"/>
  <c r="AG4" i="1"/>
  <c r="AG11" i="1" l="1"/>
  <c r="U11" i="1"/>
  <c r="X11" i="1"/>
  <c r="M18" i="1" l="1"/>
  <c r="M19" i="1" s="1"/>
  <c r="M41" i="1" s="1"/>
  <c r="Z11" i="1"/>
  <c r="N18" i="1"/>
  <c r="N19" i="1" s="1"/>
  <c r="Y11" i="1"/>
  <c r="V11" i="1"/>
  <c r="AG48" i="1"/>
  <c r="J18" i="1"/>
  <c r="J19" i="1" s="1"/>
  <c r="J41" i="1" s="1"/>
  <c r="I18" i="1"/>
  <c r="I19" i="1" s="1"/>
  <c r="I41" i="1" s="1"/>
  <c r="L18" i="1"/>
  <c r="L19" i="1" s="1"/>
  <c r="L41" i="1" s="1"/>
  <c r="K18" i="1"/>
  <c r="K19" i="1" s="1"/>
  <c r="K41" i="1" s="1"/>
  <c r="P17" i="1"/>
  <c r="N17" i="1"/>
  <c r="C17" i="2"/>
  <c r="C28" i="2"/>
  <c r="C38" i="2"/>
  <c r="D6" i="1"/>
  <c r="E6" i="1"/>
  <c r="F6" i="1"/>
  <c r="G6" i="1"/>
  <c r="H6" i="1"/>
  <c r="I17" i="1"/>
  <c r="J17" i="1"/>
  <c r="K17" i="1"/>
  <c r="L17" i="1"/>
  <c r="M17" i="1"/>
  <c r="C7" i="1"/>
  <c r="C10" i="1"/>
  <c r="C47" i="1" s="1"/>
  <c r="C12" i="1"/>
  <c r="C48" i="1" s="1"/>
  <c r="D13" i="1"/>
  <c r="E13" i="1"/>
  <c r="F13" i="1"/>
  <c r="G13" i="1"/>
  <c r="G47" i="1"/>
  <c r="H47" i="1"/>
  <c r="G48" i="1"/>
  <c r="H48" i="1"/>
  <c r="I12" i="15" l="1"/>
  <c r="I22" i="15" s="1"/>
  <c r="N41" i="1"/>
  <c r="H12" i="15"/>
  <c r="F12" i="15"/>
  <c r="G12" i="15"/>
  <c r="G22" i="15" s="1"/>
  <c r="G28" i="15" s="1"/>
  <c r="E12" i="15"/>
  <c r="E22" i="15" s="1"/>
  <c r="E28" i="15" s="1"/>
  <c r="D12" i="15"/>
  <c r="D20" i="15" s="1"/>
  <c r="AA11" i="1"/>
  <c r="F22" i="15"/>
  <c r="F28" i="15" s="1"/>
  <c r="F20" i="15"/>
  <c r="H22" i="15"/>
  <c r="I53" i="1"/>
  <c r="D20" i="16" s="1"/>
  <c r="O18" i="1"/>
  <c r="O19" i="1" s="1"/>
  <c r="O17" i="1"/>
  <c r="J12" i="15" l="1"/>
  <c r="J22" i="15" s="1"/>
  <c r="E20" i="15"/>
  <c r="D22" i="15"/>
  <c r="D28" i="15" s="1"/>
  <c r="D31" i="15" s="1"/>
  <c r="E38" i="15" s="1"/>
  <c r="G20" i="15"/>
  <c r="G31" i="15" s="1"/>
  <c r="I54" i="1"/>
  <c r="F31" i="15"/>
  <c r="AB11" i="1"/>
  <c r="E31" i="15"/>
  <c r="J53" i="1"/>
  <c r="E20" i="16" s="1"/>
  <c r="P18" i="1"/>
  <c r="P19" i="1" s="1"/>
  <c r="Q17" i="1"/>
  <c r="AG47" i="1"/>
  <c r="K12" i="15" l="1"/>
  <c r="K22" i="15" s="1"/>
  <c r="E36" i="15"/>
  <c r="F36" i="15" s="1"/>
  <c r="G36" i="15" s="1"/>
  <c r="H36" i="15" s="1"/>
  <c r="E35" i="15"/>
  <c r="E39" i="15"/>
  <c r="F39" i="15" s="1"/>
  <c r="G39" i="15" s="1"/>
  <c r="H39" i="15" s="1"/>
  <c r="E37" i="15"/>
  <c r="F37" i="15" s="1"/>
  <c r="G37" i="15" s="1"/>
  <c r="H37" i="15" s="1"/>
  <c r="D21" i="16"/>
  <c r="J54" i="1"/>
  <c r="E21" i="16"/>
  <c r="AC11" i="1"/>
  <c r="K53" i="1"/>
  <c r="F20" i="16" s="1"/>
  <c r="L53" i="1"/>
  <c r="Q18" i="1"/>
  <c r="Q19" i="1" s="1"/>
  <c r="AG5" i="1"/>
  <c r="R17" i="1"/>
  <c r="F35" i="15" l="1"/>
  <c r="G35" i="15" s="1"/>
  <c r="H35" i="15" s="1"/>
  <c r="L12" i="15"/>
  <c r="G20" i="16"/>
  <c r="G21" i="16" s="1"/>
  <c r="K54" i="1"/>
  <c r="F21" i="16"/>
  <c r="AD11" i="1"/>
  <c r="L22" i="15"/>
  <c r="R18" i="1"/>
  <c r="R19" i="1" s="1"/>
  <c r="U12" i="1"/>
  <c r="V48" i="1"/>
  <c r="S17" i="1"/>
  <c r="M12" i="15" l="1"/>
  <c r="M22" i="15" s="1"/>
  <c r="E10" i="16"/>
  <c r="F10" i="16"/>
  <c r="L54" i="1"/>
  <c r="AE11" i="1"/>
  <c r="S18" i="1"/>
  <c r="S19" i="1" s="1"/>
  <c r="V12" i="1"/>
  <c r="N12" i="15" l="1"/>
  <c r="N22" i="15" s="1"/>
  <c r="D10" i="16"/>
  <c r="AH4" i="1"/>
  <c r="AF11" i="1"/>
  <c r="AH11" i="1" s="1"/>
  <c r="H14" i="15" l="1"/>
  <c r="H24" i="15" l="1"/>
  <c r="V31" i="1" l="1"/>
  <c r="V49" i="1"/>
  <c r="AA30" i="1"/>
  <c r="I14" i="15"/>
  <c r="V32" i="1" l="1"/>
  <c r="I24" i="15"/>
  <c r="W31" i="1"/>
  <c r="W49" i="1"/>
  <c r="J14" i="15"/>
  <c r="J24" i="15" s="1"/>
  <c r="W32" i="1" l="1"/>
  <c r="AB30" i="1"/>
  <c r="P27" i="1"/>
  <c r="X31" i="1"/>
  <c r="X49" i="1"/>
  <c r="AI11" i="1"/>
  <c r="P28" i="1" l="1"/>
  <c r="K14" i="15" s="1"/>
  <c r="K24" i="15" s="1"/>
  <c r="AC30" i="1"/>
  <c r="Q27" i="1"/>
  <c r="X32" i="1"/>
  <c r="Y31" i="1"/>
  <c r="Y49" i="1"/>
  <c r="AJ11" i="1"/>
  <c r="Y32" i="1" l="1"/>
  <c r="Q28" i="1"/>
  <c r="L14" i="15" s="1"/>
  <c r="L24" i="15" s="1"/>
  <c r="AD30" i="1"/>
  <c r="R27" i="1"/>
  <c r="Z31" i="1"/>
  <c r="Z49" i="1"/>
  <c r="R28" i="1" l="1"/>
  <c r="M14" i="15" s="1"/>
  <c r="M24" i="15" s="1"/>
  <c r="AE30" i="1"/>
  <c r="S27" i="1"/>
  <c r="Z32" i="1"/>
  <c r="AA31" i="1"/>
  <c r="AA49" i="1"/>
  <c r="T27" i="1"/>
  <c r="T28" i="1" l="1"/>
  <c r="S28" i="1"/>
  <c r="N14" i="15" s="1"/>
  <c r="N24" i="15" s="1"/>
  <c r="AF30" i="1"/>
  <c r="AA32" i="1"/>
  <c r="AB31" i="1"/>
  <c r="AB49" i="1"/>
  <c r="AG26" i="1"/>
  <c r="AG27" i="1"/>
  <c r="AB32" i="1" l="1"/>
  <c r="U27" i="1"/>
  <c r="U28" i="1" s="1"/>
  <c r="AC31" i="1"/>
  <c r="AC49" i="1"/>
  <c r="AC32" i="1" l="1"/>
  <c r="V27" i="1"/>
  <c r="V28" i="1" s="1"/>
  <c r="AG28" i="1"/>
  <c r="O14" i="15"/>
  <c r="AD31" i="1"/>
  <c r="AD49" i="1"/>
  <c r="AD32" i="1" l="1"/>
  <c r="W27" i="1"/>
  <c r="W28" i="1" s="1"/>
  <c r="O24" i="15"/>
  <c r="P24" i="15" s="1"/>
  <c r="P14" i="15"/>
  <c r="AE31" i="1"/>
  <c r="AE49" i="1"/>
  <c r="AF49" i="1"/>
  <c r="X27" i="1" l="1"/>
  <c r="X28" i="1" s="1"/>
  <c r="AE32" i="1"/>
  <c r="AH49" i="1"/>
  <c r="AF31" i="1"/>
  <c r="AH30" i="1"/>
  <c r="Y27" i="1" l="1"/>
  <c r="Y28" i="1" s="1"/>
  <c r="AF32" i="1"/>
  <c r="AH32" i="1" s="1"/>
  <c r="Q15" i="15" s="1"/>
  <c r="Q25" i="15" s="1"/>
  <c r="AH31" i="1"/>
  <c r="Z27" i="1" l="1"/>
  <c r="Z28" i="1" s="1"/>
  <c r="AI30" i="1"/>
  <c r="AI31" i="1" s="1"/>
  <c r="AI32" i="1" s="1"/>
  <c r="AA27" i="1" l="1"/>
  <c r="AA28" i="1" s="1"/>
  <c r="H13" i="15"/>
  <c r="AB27" i="1" l="1"/>
  <c r="AB28" i="1" s="1"/>
  <c r="H23" i="15"/>
  <c r="H28" i="15" s="1"/>
  <c r="H20" i="15"/>
  <c r="M53" i="1"/>
  <c r="H20" i="16" s="1"/>
  <c r="O22" i="1"/>
  <c r="O23" i="1" s="1"/>
  <c r="O24" i="1" l="1"/>
  <c r="O41" i="1" s="1"/>
  <c r="O40" i="1"/>
  <c r="O46" i="1" s="1"/>
  <c r="AC27" i="1"/>
  <c r="AC28" i="1" s="1"/>
  <c r="M54" i="1"/>
  <c r="H31" i="15"/>
  <c r="I13" i="15"/>
  <c r="P22" i="1"/>
  <c r="Q22" i="1" l="1"/>
  <c r="P23" i="1"/>
  <c r="AD27" i="1"/>
  <c r="AD28" i="1" s="1"/>
  <c r="I39" i="15"/>
  <c r="I35" i="15"/>
  <c r="I36" i="15"/>
  <c r="I37" i="15"/>
  <c r="H21" i="16"/>
  <c r="I23" i="15"/>
  <c r="I28" i="15" s="1"/>
  <c r="I20" i="15"/>
  <c r="N53" i="1"/>
  <c r="I20" i="16" s="1"/>
  <c r="P24" i="1" l="1"/>
  <c r="P41" i="1" s="1"/>
  <c r="P40" i="1"/>
  <c r="P46" i="1" s="1"/>
  <c r="R22" i="1"/>
  <c r="Q23" i="1"/>
  <c r="AF27" i="1"/>
  <c r="AF28" i="1" s="1"/>
  <c r="AE27" i="1"/>
  <c r="AE28" i="1" s="1"/>
  <c r="J13" i="15"/>
  <c r="J23" i="15" s="1"/>
  <c r="J28" i="15" s="1"/>
  <c r="N54" i="1"/>
  <c r="I21" i="16"/>
  <c r="I31" i="15"/>
  <c r="J36" i="15" s="1"/>
  <c r="Q24" i="1" l="1"/>
  <c r="Q41" i="1" s="1"/>
  <c r="Q40" i="1"/>
  <c r="Q46" i="1" s="1"/>
  <c r="S22" i="1"/>
  <c r="R23" i="1"/>
  <c r="J20" i="15"/>
  <c r="J31" i="15" s="1"/>
  <c r="K36" i="15" s="1"/>
  <c r="K13" i="15"/>
  <c r="K23" i="15" s="1"/>
  <c r="K28" i="15" s="1"/>
  <c r="J39" i="15"/>
  <c r="J35" i="15"/>
  <c r="J37" i="15"/>
  <c r="O53" i="1"/>
  <c r="J20" i="16" s="1"/>
  <c r="AH26" i="1"/>
  <c r="AH27" i="1"/>
  <c r="K20" i="15" l="1"/>
  <c r="P53" i="1"/>
  <c r="K20" i="16" s="1"/>
  <c r="K21" i="16" s="1"/>
  <c r="R24" i="1"/>
  <c r="R41" i="1" s="1"/>
  <c r="R40" i="1"/>
  <c r="R46" i="1" s="1"/>
  <c r="T22" i="1"/>
  <c r="U22" i="1" s="1"/>
  <c r="V22" i="1" s="1"/>
  <c r="W22" i="1" s="1"/>
  <c r="X22" i="1" s="1"/>
  <c r="Y22" i="1" s="1"/>
  <c r="Z22" i="1" s="1"/>
  <c r="AA22" i="1" s="1"/>
  <c r="AB22" i="1" s="1"/>
  <c r="AC22" i="1" s="1"/>
  <c r="AD22" i="1" s="1"/>
  <c r="AE22" i="1" s="1"/>
  <c r="AF22" i="1" s="1"/>
  <c r="S23" i="1"/>
  <c r="L13" i="15"/>
  <c r="L23" i="15" s="1"/>
  <c r="L28" i="15" s="1"/>
  <c r="K35" i="15"/>
  <c r="K39" i="15"/>
  <c r="K37" i="15"/>
  <c r="O54" i="1"/>
  <c r="J21" i="16"/>
  <c r="K31" i="15"/>
  <c r="L36" i="15" s="1"/>
  <c r="AH28" i="1"/>
  <c r="Q14" i="15" s="1"/>
  <c r="Q24" i="15" s="1"/>
  <c r="T23" i="1" l="1"/>
  <c r="S24" i="1"/>
  <c r="S41" i="1" s="1"/>
  <c r="S40" i="1"/>
  <c r="S46" i="1" s="1"/>
  <c r="L20" i="15"/>
  <c r="L31" i="15" s="1"/>
  <c r="M36" i="15" s="1"/>
  <c r="M13" i="15"/>
  <c r="M23" i="15" s="1"/>
  <c r="M28" i="15" s="1"/>
  <c r="L39" i="15"/>
  <c r="L35" i="15"/>
  <c r="L37" i="15"/>
  <c r="H10" i="16"/>
  <c r="I10" i="16"/>
  <c r="P54" i="1"/>
  <c r="R53" i="1"/>
  <c r="M20" i="16" s="1"/>
  <c r="Q53" i="1"/>
  <c r="L20" i="16" s="1"/>
  <c r="AG22" i="1"/>
  <c r="M20" i="15" l="1"/>
  <c r="M31" i="15" s="1"/>
  <c r="N36" i="15" s="1"/>
  <c r="U23" i="1"/>
  <c r="U24" i="1" s="1"/>
  <c r="T24" i="1"/>
  <c r="T40" i="1"/>
  <c r="AG40" i="1" s="1"/>
  <c r="G10" i="16"/>
  <c r="N13" i="15"/>
  <c r="N23" i="15" s="1"/>
  <c r="N28" i="15" s="1"/>
  <c r="M35" i="15"/>
  <c r="M39" i="15"/>
  <c r="M37" i="15"/>
  <c r="M21" i="16"/>
  <c r="Q54" i="1"/>
  <c r="AG23" i="1"/>
  <c r="T46" i="1" l="1"/>
  <c r="V23" i="1"/>
  <c r="V24" i="1" s="1"/>
  <c r="N20" i="15"/>
  <c r="N31" i="15" s="1"/>
  <c r="O36" i="15" s="1"/>
  <c r="N35" i="15"/>
  <c r="N39" i="15"/>
  <c r="N37" i="15"/>
  <c r="L10" i="16"/>
  <c r="K10" i="16"/>
  <c r="R54" i="1"/>
  <c r="L21" i="16"/>
  <c r="AG24" i="1"/>
  <c r="O13" i="15"/>
  <c r="S53" i="1"/>
  <c r="N20" i="16" s="1"/>
  <c r="W23" i="1" l="1"/>
  <c r="W24" i="1" s="1"/>
  <c r="J10" i="16"/>
  <c r="O39" i="15"/>
  <c r="O35" i="15"/>
  <c r="P35" i="15" s="1"/>
  <c r="O37" i="15"/>
  <c r="S54" i="1"/>
  <c r="O23" i="15"/>
  <c r="P13" i="15"/>
  <c r="X23" i="1" l="1"/>
  <c r="X24" i="1" s="1"/>
  <c r="O10" i="16"/>
  <c r="N10" i="16"/>
  <c r="N21" i="16"/>
  <c r="P23" i="15"/>
  <c r="Y23" i="1" l="1"/>
  <c r="Y24" i="1" s="1"/>
  <c r="M10" i="16"/>
  <c r="F38" i="15"/>
  <c r="G38" i="15" s="1"/>
  <c r="H38" i="15" s="1"/>
  <c r="I38" i="15" s="1"/>
  <c r="J38" i="15" s="1"/>
  <c r="K38" i="15" s="1"/>
  <c r="L38" i="15" s="1"/>
  <c r="M38" i="15" s="1"/>
  <c r="N38" i="15" s="1"/>
  <c r="O38" i="15" s="1"/>
  <c r="Z23" i="1" l="1"/>
  <c r="Z24" i="1" s="1"/>
  <c r="P10" i="16"/>
  <c r="AA23" i="1" l="1"/>
  <c r="AA24" i="1" s="1"/>
  <c r="D40" i="15"/>
  <c r="P39" i="15"/>
  <c r="P38" i="15"/>
  <c r="AB23" i="1" l="1"/>
  <c r="AB24" i="1" s="1"/>
  <c r="P36" i="15"/>
  <c r="E40" i="15"/>
  <c r="P37" i="15"/>
  <c r="F40" i="15"/>
  <c r="AC23" i="1" l="1"/>
  <c r="AC24" i="1" s="1"/>
  <c r="G40" i="15"/>
  <c r="AD23" i="1" l="1"/>
  <c r="AD24" i="1" s="1"/>
  <c r="H40" i="15"/>
  <c r="AE23" i="1" l="1"/>
  <c r="AE24" i="1" s="1"/>
  <c r="AF23" i="1"/>
  <c r="AF24" i="1" s="1"/>
  <c r="I40" i="15"/>
  <c r="AH22" i="1" l="1"/>
  <c r="AI22" i="1" s="1"/>
  <c r="AJ22" i="1" s="1"/>
  <c r="J40" i="15"/>
  <c r="AH23" i="1"/>
  <c r="AH24" i="1" l="1"/>
  <c r="Q13" i="15" s="1"/>
  <c r="Q23" i="15" s="1"/>
  <c r="K40" i="15"/>
  <c r="L40" i="15" l="1"/>
  <c r="M40" i="15" l="1"/>
  <c r="N40" i="15" l="1"/>
  <c r="O40" i="15" l="1"/>
  <c r="P40" i="15"/>
  <c r="C42" i="15"/>
  <c r="C48" i="15" l="1"/>
  <c r="C9" i="16" s="1"/>
  <c r="C23" i="16" s="1"/>
  <c r="C25" i="16" s="1"/>
  <c r="P8" i="16" l="1"/>
  <c r="D8" i="16"/>
  <c r="F42" i="15"/>
  <c r="F9" i="16" s="1"/>
  <c r="F23" i="16" s="1"/>
  <c r="F48" i="15" l="1"/>
  <c r="J42" i="15"/>
  <c r="J48" i="15" s="1"/>
  <c r="M42" i="15"/>
  <c r="N42" i="15"/>
  <c r="N9" i="16" s="1"/>
  <c r="N23" i="16" s="1"/>
  <c r="I42" i="15"/>
  <c r="I48" i="15" s="1"/>
  <c r="L42" i="15"/>
  <c r="L48" i="15" s="1"/>
  <c r="H42" i="15"/>
  <c r="H48" i="15" s="1"/>
  <c r="G42" i="15"/>
  <c r="G9" i="16" s="1"/>
  <c r="G23" i="16" s="1"/>
  <c r="K42" i="15"/>
  <c r="K9" i="16" s="1"/>
  <c r="K23" i="16" s="1"/>
  <c r="M9" i="16" l="1"/>
  <c r="M23" i="16" s="1"/>
  <c r="L9" i="16"/>
  <c r="L23" i="16" s="1"/>
  <c r="J9" i="16"/>
  <c r="J23" i="16" s="1"/>
  <c r="H9" i="16"/>
  <c r="H23" i="16" s="1"/>
  <c r="K48" i="15"/>
  <c r="N48" i="15"/>
  <c r="M48" i="15"/>
  <c r="I9" i="16"/>
  <c r="I23" i="16" s="1"/>
  <c r="G48" i="15"/>
  <c r="E42" i="15"/>
  <c r="E48" i="15" s="1"/>
  <c r="E9" i="16" l="1"/>
  <c r="E23" i="16" s="1"/>
  <c r="D42" i="15"/>
  <c r="D48" i="15" s="1"/>
  <c r="D9" i="16" l="1"/>
  <c r="D23" i="16" s="1"/>
  <c r="D25" i="16" s="1"/>
  <c r="E8" i="16" s="1"/>
  <c r="E25" i="16" s="1"/>
  <c r="F8" i="16" s="1"/>
  <c r="AG3" i="1"/>
  <c r="AG6" i="1" s="1"/>
  <c r="T17" i="1"/>
  <c r="AG17" i="1" s="1"/>
  <c r="AG13" i="1"/>
  <c r="U3" i="1"/>
  <c r="U47" i="1" s="1"/>
  <c r="F25" i="16" l="1"/>
  <c r="G8" i="16" s="1"/>
  <c r="V3" i="1"/>
  <c r="V47" i="1" s="1"/>
  <c r="X5" i="1"/>
  <c r="X48" i="1" s="1"/>
  <c r="T18" i="1"/>
  <c r="W12" i="1"/>
  <c r="W48" i="1"/>
  <c r="U10" i="1"/>
  <c r="U6" i="1"/>
  <c r="U17" i="1" s="1"/>
  <c r="G25" i="16" l="1"/>
  <c r="H8" i="16" s="1"/>
  <c r="V10" i="1"/>
  <c r="V13" i="1" s="1"/>
  <c r="V40" i="1" s="1"/>
  <c r="X12" i="1"/>
  <c r="W3" i="1"/>
  <c r="W6" i="1" s="1"/>
  <c r="W17" i="1" s="1"/>
  <c r="V6" i="1"/>
  <c r="V17" i="1" s="1"/>
  <c r="Y5" i="1"/>
  <c r="Z5" i="1" s="1"/>
  <c r="U13" i="1"/>
  <c r="U40" i="1" s="1"/>
  <c r="U46" i="1" s="1"/>
  <c r="V46" i="1" s="1"/>
  <c r="X3" i="1"/>
  <c r="T19" i="1"/>
  <c r="T41" i="1" s="1"/>
  <c r="AG18" i="1"/>
  <c r="Y12" i="1" l="1"/>
  <c r="V18" i="1"/>
  <c r="V19" i="1" s="1"/>
  <c r="V41" i="1" s="1"/>
  <c r="W47" i="1"/>
  <c r="W10" i="1"/>
  <c r="W13" i="1" s="1"/>
  <c r="W40" i="1" s="1"/>
  <c r="W46" i="1" s="1"/>
  <c r="H25" i="16"/>
  <c r="I8" i="16" s="1"/>
  <c r="Y48" i="1"/>
  <c r="Z48" i="1"/>
  <c r="Z12" i="1"/>
  <c r="AA5" i="1"/>
  <c r="V53" i="1"/>
  <c r="U18" i="1"/>
  <c r="W18" i="1"/>
  <c r="W19" i="1" s="1"/>
  <c r="W41" i="1" s="1"/>
  <c r="AG19" i="1"/>
  <c r="AG41" i="1" s="1"/>
  <c r="O12" i="15"/>
  <c r="T53" i="1"/>
  <c r="O20" i="16" s="1"/>
  <c r="AG46" i="1"/>
  <c r="AG53" i="1" s="1"/>
  <c r="X10" i="1"/>
  <c r="X13" i="1" s="1"/>
  <c r="X40" i="1" s="1"/>
  <c r="X47" i="1"/>
  <c r="X6" i="1"/>
  <c r="X17" i="1" s="1"/>
  <c r="Y3" i="1"/>
  <c r="I25" i="16" l="1"/>
  <c r="J8" i="16" s="1"/>
  <c r="X46" i="1"/>
  <c r="T54" i="1"/>
  <c r="AA48" i="1"/>
  <c r="AA12" i="1"/>
  <c r="AB5" i="1"/>
  <c r="X18" i="1"/>
  <c r="X19" i="1" s="1"/>
  <c r="X41" i="1" s="1"/>
  <c r="U19" i="1"/>
  <c r="U41" i="1" s="1"/>
  <c r="U53" i="1"/>
  <c r="Y10" i="1"/>
  <c r="Y47" i="1"/>
  <c r="Z3" i="1"/>
  <c r="Y6" i="1"/>
  <c r="Y17" i="1" s="1"/>
  <c r="W53" i="1"/>
  <c r="O20" i="15"/>
  <c r="P12" i="15"/>
  <c r="P20" i="15" s="1"/>
  <c r="O22" i="15"/>
  <c r="J25" i="16" l="1"/>
  <c r="K8" i="16" s="1"/>
  <c r="X53" i="1"/>
  <c r="Z47" i="1"/>
  <c r="Z6" i="1"/>
  <c r="Z17" i="1" s="1"/>
  <c r="Z10" i="1"/>
  <c r="Z13" i="1" s="1"/>
  <c r="Z40" i="1" s="1"/>
  <c r="AA3" i="1"/>
  <c r="AB3" i="1" s="1"/>
  <c r="AC3" i="1" s="1"/>
  <c r="AD3" i="1" s="1"/>
  <c r="U54" i="1"/>
  <c r="V54" i="1" s="1"/>
  <c r="W54" i="1" s="1"/>
  <c r="P20" i="16"/>
  <c r="P21" i="16" s="1"/>
  <c r="O21" i="16"/>
  <c r="AB12" i="1"/>
  <c r="AC5" i="1"/>
  <c r="AB48" i="1"/>
  <c r="O28" i="15"/>
  <c r="O31" i="15" s="1"/>
  <c r="O42" i="15" s="1"/>
  <c r="P22" i="15"/>
  <c r="P28" i="15" s="1"/>
  <c r="Y13" i="1"/>
  <c r="Y40" i="1" s="1"/>
  <c r="Y46" i="1" s="1"/>
  <c r="Z46" i="1" s="1"/>
  <c r="K25" i="16" l="1"/>
  <c r="L8" i="16" s="1"/>
  <c r="O48" i="15"/>
  <c r="O9" i="16"/>
  <c r="O23" i="16" s="1"/>
  <c r="X54" i="1"/>
  <c r="P31" i="15"/>
  <c r="P42" i="15" s="1"/>
  <c r="Y18" i="1"/>
  <c r="AC48" i="1"/>
  <c r="AC12" i="1"/>
  <c r="AD5" i="1"/>
  <c r="AA47" i="1"/>
  <c r="AA10" i="1"/>
  <c r="AA6" i="1"/>
  <c r="AA17" i="1" s="1"/>
  <c r="Z18" i="1"/>
  <c r="Z19" i="1" s="1"/>
  <c r="Z41" i="1" s="1"/>
  <c r="L25" i="16" l="1"/>
  <c r="M8" i="16" s="1"/>
  <c r="Y42" i="15"/>
  <c r="P9" i="16"/>
  <c r="Z53" i="1"/>
  <c r="AD12" i="1"/>
  <c r="AD48" i="1"/>
  <c r="AE5" i="1"/>
  <c r="Y19" i="1"/>
  <c r="Y41" i="1" s="1"/>
  <c r="AA13" i="1"/>
  <c r="AA40" i="1" s="1"/>
  <c r="AA46" i="1" s="1"/>
  <c r="P48" i="15"/>
  <c r="P23" i="16" s="1"/>
  <c r="AE3" i="1"/>
  <c r="AF3" i="1" s="1"/>
  <c r="AB10" i="1"/>
  <c r="AB13" i="1" s="1"/>
  <c r="AB40" i="1" s="1"/>
  <c r="AB6" i="1"/>
  <c r="AB17" i="1" s="1"/>
  <c r="AB47" i="1"/>
  <c r="Y53" i="1"/>
  <c r="Y54" i="1" s="1"/>
  <c r="M25" i="16" l="1"/>
  <c r="N8" i="16" s="1"/>
  <c r="AB46" i="1"/>
  <c r="Z54" i="1"/>
  <c r="AB18" i="1"/>
  <c r="AB19" i="1" s="1"/>
  <c r="AB41" i="1" s="1"/>
  <c r="AA18" i="1"/>
  <c r="AF5" i="1"/>
  <c r="AE12" i="1"/>
  <c r="AE48" i="1"/>
  <c r="AC10" i="1"/>
  <c r="AC47" i="1"/>
  <c r="AC6" i="1"/>
  <c r="AC17" i="1" s="1"/>
  <c r="N25" i="16" l="1"/>
  <c r="O8" i="16" s="1"/>
  <c r="O25" i="16" s="1"/>
  <c r="P25" i="16" s="1"/>
  <c r="Q8" i="16" s="1"/>
  <c r="AB53" i="1"/>
  <c r="AC13" i="1"/>
  <c r="AC40" i="1" s="1"/>
  <c r="AC46" i="1" s="1"/>
  <c r="AH5" i="1"/>
  <c r="AF12" i="1"/>
  <c r="AI12" i="1" s="1"/>
  <c r="AJ12" i="1" s="1"/>
  <c r="AF48" i="1"/>
  <c r="AH48" i="1" s="1"/>
  <c r="AD6" i="1"/>
  <c r="AD17" i="1" s="1"/>
  <c r="AD47" i="1"/>
  <c r="AD10" i="1"/>
  <c r="AD13" i="1" s="1"/>
  <c r="AD40" i="1" s="1"/>
  <c r="AA19" i="1"/>
  <c r="AA41" i="1" s="1"/>
  <c r="AA53" i="1"/>
  <c r="AA54" i="1" s="1"/>
  <c r="AD46" i="1" l="1"/>
  <c r="AE6" i="1"/>
  <c r="AE17" i="1" s="1"/>
  <c r="AE10" i="1"/>
  <c r="AE13" i="1" s="1"/>
  <c r="AE40" i="1" s="1"/>
  <c r="AE47" i="1"/>
  <c r="AC18" i="1"/>
  <c r="AD18" i="1"/>
  <c r="AD19" i="1" s="1"/>
  <c r="AD41" i="1" s="1"/>
  <c r="AB54" i="1"/>
  <c r="AE46" i="1" l="1"/>
  <c r="AD53" i="1"/>
  <c r="AF47" i="1"/>
  <c r="AH47" i="1" s="1"/>
  <c r="AF6" i="1"/>
  <c r="AF17" i="1" s="1"/>
  <c r="AH17" i="1" s="1"/>
  <c r="AF10" i="1"/>
  <c r="AH3" i="1"/>
  <c r="AH6" i="1" s="1"/>
  <c r="AC19" i="1"/>
  <c r="AC41" i="1" s="1"/>
  <c r="AE18" i="1"/>
  <c r="AE19" i="1" s="1"/>
  <c r="AE41" i="1" s="1"/>
  <c r="AC53" i="1"/>
  <c r="AC54" i="1" s="1"/>
  <c r="AE53" i="1" l="1"/>
  <c r="AD54" i="1"/>
  <c r="AF13" i="1"/>
  <c r="AF40" i="1" s="1"/>
  <c r="AH40" i="1" s="1"/>
  <c r="AF46" i="1" l="1"/>
  <c r="AE54" i="1"/>
  <c r="AH13" i="1"/>
  <c r="AI10" i="1"/>
  <c r="AF18" i="1"/>
  <c r="AF19" i="1" l="1"/>
  <c r="AF41" i="1" s="1"/>
  <c r="AH18" i="1"/>
  <c r="AI13" i="1"/>
  <c r="AJ10" i="1"/>
  <c r="AJ13" i="1" s="1"/>
  <c r="AH19" i="1" l="1"/>
  <c r="AF53" i="1"/>
  <c r="AF54" i="1" s="1"/>
  <c r="AH46" i="1"/>
  <c r="AH53" i="1" s="1"/>
  <c r="Q20" i="16" s="1"/>
  <c r="Q21" i="16" s="1"/>
  <c r="Q12" i="15" l="1"/>
  <c r="Q22" i="15" s="1"/>
  <c r="Q28" i="15" s="1"/>
  <c r="AH41" i="1"/>
  <c r="Q10" i="16"/>
  <c r="Q20" i="15" l="1"/>
  <c r="Q31" i="15" s="1"/>
  <c r="Q36" i="15" s="1"/>
  <c r="Q35" i="15" l="1"/>
  <c r="Q38" i="15"/>
  <c r="Q37" i="15"/>
  <c r="Q39" i="15"/>
  <c r="Q40" i="15" l="1"/>
  <c r="Q42" i="15" s="1"/>
  <c r="Q9" i="16" s="1"/>
  <c r="Q23" i="16" s="1"/>
  <c r="Q25" i="16" s="1"/>
  <c r="Z42" i="15" l="1"/>
</calcChain>
</file>

<file path=xl/sharedStrings.xml><?xml version="1.0" encoding="utf-8"?>
<sst xmlns="http://schemas.openxmlformats.org/spreadsheetml/2006/main" count="274" uniqueCount="161">
  <si>
    <t># of ER in US</t>
    <phoneticPr fontId="10" type="noConversion"/>
  </si>
  <si>
    <t>ICU USA</t>
    <phoneticPr fontId="10" type="noConversion"/>
  </si>
  <si>
    <t># of ICU blood tests</t>
    <phoneticPr fontId="10" type="noConversion"/>
  </si>
  <si>
    <t># of ER visits requiring blood tests</t>
    <phoneticPr fontId="10" type="noConversion"/>
  </si>
  <si>
    <t>Rx Locations</t>
    <phoneticPr fontId="10" type="noConversion"/>
  </si>
  <si>
    <t>ER USA</t>
    <phoneticPr fontId="10" type="noConversion"/>
  </si>
  <si>
    <t>Years</t>
    <phoneticPr fontId="10" type="noConversion"/>
  </si>
  <si>
    <t># of ICU in US</t>
    <phoneticPr fontId="10" type="noConversion"/>
  </si>
  <si>
    <t># of ER Visits/Year</t>
    <phoneticPr fontId="10" type="noConversion"/>
  </si>
  <si>
    <t>Annual TESTS/MINILAB Ratio</t>
    <phoneticPr fontId="10" type="noConversion"/>
  </si>
  <si>
    <t>Revenue Per requisition</t>
  </si>
  <si>
    <t>2014 Device cost + installation/config + Training</t>
  </si>
  <si>
    <t>% of ER visits requiring Lab Tests</t>
  </si>
  <si>
    <t>Retail Pharmacy (US ONLY)</t>
  </si>
  <si>
    <t>(6000 confirmed in 2005)</t>
  </si>
  <si>
    <t>Retail US</t>
  </si>
  <si>
    <t>Rx Tests/day/location</t>
  </si>
  <si>
    <t>= Rx Tests Sold/Day</t>
  </si>
  <si>
    <t>Physicians' Offices</t>
  </si>
  <si>
    <t>Other Retail Pharmacies</t>
  </si>
  <si>
    <t>Theranos Locations</t>
  </si>
  <si>
    <t>Number of Locations</t>
  </si>
  <si>
    <t>Requisitions collected/Performed/Month</t>
  </si>
  <si>
    <t>(55K ICU patients in US per night in 2005)</t>
  </si>
  <si>
    <t>% of ICU days requiring Lab tests</t>
  </si>
  <si>
    <t># of test per person per day</t>
  </si>
  <si>
    <t>Hospitals (courier)</t>
  </si>
  <si>
    <t>Revenue</t>
  </si>
  <si>
    <t>Hospitals (OnSite)</t>
  </si>
  <si>
    <t>Total at Retail Pharmacies DAILY-&gt;</t>
  </si>
  <si>
    <t>Number of Physicians Offices</t>
  </si>
  <si>
    <t>Theranos Labs</t>
  </si>
  <si>
    <t>Walgreens</t>
  </si>
  <si>
    <t>Hospitals</t>
  </si>
  <si>
    <t>Retail Pharmacies</t>
  </si>
  <si>
    <t>TOTAL::Retail Pharmacies LOCATIONS</t>
  </si>
  <si>
    <t>total # of Retail locations</t>
  </si>
  <si>
    <t>DOD</t>
  </si>
  <si>
    <t>International</t>
  </si>
  <si>
    <t>TBD</t>
  </si>
  <si>
    <t>Total New Minilabs Produced</t>
  </si>
  <si>
    <t>Cumulative Minilab Inventory</t>
  </si>
  <si>
    <t>DDAY HOSPITALS. NUM UNITS/Locations 2015</t>
  </si>
  <si>
    <t>hour</t>
  </si>
  <si>
    <t>Average Runtime - G2</t>
  </si>
  <si>
    <t>Period Ending</t>
  </si>
  <si>
    <t>Pharmaceuticals Services</t>
  </si>
  <si>
    <t>Total Revenue</t>
    <phoneticPr fontId="0" type="noConversion"/>
  </si>
  <si>
    <t>Gross Profit</t>
    <phoneticPr fontId="0" type="noConversion"/>
  </si>
  <si>
    <t>Operating Expenses</t>
  </si>
  <si>
    <t>CLIA Lab Operations</t>
  </si>
  <si>
    <t>Data Center</t>
  </si>
  <si>
    <t>G&amp;A</t>
  </si>
  <si>
    <t>Total Operating Expenses</t>
    <phoneticPr fontId="0" type="noConversion"/>
  </si>
  <si>
    <t>Sale of Stock - Options exercised</t>
  </si>
  <si>
    <t>Services NBL by Safeway</t>
  </si>
  <si>
    <t>Adjustments to prepayment of revenue</t>
  </si>
  <si>
    <t>Capital Expeditures:</t>
  </si>
  <si>
    <t>Minilabs</t>
  </si>
  <si>
    <t>Total Capital Expenditures</t>
  </si>
  <si>
    <t>TOTAL CASHFLOW IN (OUT)</t>
    <phoneticPr fontId="0" type="noConversion"/>
  </si>
  <si>
    <t>Ending Cash Balance</t>
  </si>
  <si>
    <t>Lab Services Revenue from Physicians Offices (courier)</t>
  </si>
  <si>
    <t>Lab Services Revenue from Hospitals (courier)</t>
  </si>
  <si>
    <t>OnSite Services Revenue from Hospitals</t>
  </si>
  <si>
    <t>EBITDA</t>
  </si>
  <si>
    <t>Depreciation of Capital Assets</t>
  </si>
  <si>
    <t>(deprectiaion expense)</t>
  </si>
  <si>
    <t>Sales, Marketing &amp; Branding</t>
  </si>
  <si>
    <t>THERANOS, INC. AND SUBSIDIARY</t>
  </si>
  <si>
    <t>$'000</t>
  </si>
  <si>
    <t>Current assets</t>
  </si>
  <si>
    <t>Cash &amp; investment</t>
  </si>
  <si>
    <t>Inventory</t>
  </si>
  <si>
    <t>Other current assets</t>
  </si>
  <si>
    <t>Total current assets</t>
  </si>
  <si>
    <t>Plant &amp; Equipment</t>
  </si>
  <si>
    <t>Total Assets</t>
  </si>
  <si>
    <t>Current liabilities</t>
  </si>
  <si>
    <t>Accounts Payable</t>
  </si>
  <si>
    <t>Other current liabilities</t>
  </si>
  <si>
    <t>Total current liabilities</t>
  </si>
  <si>
    <t>Deferred revenue</t>
  </si>
  <si>
    <t>Repurchaseable shares</t>
  </si>
  <si>
    <t>Other long term liabilities</t>
  </si>
  <si>
    <t>Total liablities</t>
  </si>
  <si>
    <t>Common stock</t>
  </si>
  <si>
    <t>Preferred stock</t>
  </si>
  <si>
    <t>Accumulated deficit</t>
  </si>
  <si>
    <t>Total stockholder' equity</t>
  </si>
  <si>
    <t>Total liabilities and stockholders' equity</t>
  </si>
  <si>
    <t xml:space="preserve"> Projected Statement of Income</t>
  </si>
  <si>
    <t>Revenue (US COMMERCIAL ONLY)</t>
  </si>
  <si>
    <t>MONTHLY PROJECTIONS</t>
  </si>
  <si>
    <t>Cost of Revenue:</t>
  </si>
  <si>
    <t>Retail Pharmacy</t>
  </si>
  <si>
    <t>Physicians Office (courier)</t>
  </si>
  <si>
    <t>Hospital (courier)</t>
  </si>
  <si>
    <t>Hospital (onsite)</t>
  </si>
  <si>
    <t>Pharmaceutical Services</t>
  </si>
  <si>
    <t>Total Cost of Revenue</t>
  </si>
  <si>
    <t>Beginning Balance for Period</t>
  </si>
  <si>
    <t>Depreciation &amp; Taxes</t>
  </si>
  <si>
    <t>Taxes</t>
  </si>
  <si>
    <t>Net Income</t>
  </si>
  <si>
    <t>Net Income from Income Statement</t>
  </si>
  <si>
    <t>Lab Services from US Retail Pharmacies</t>
  </si>
  <si>
    <t>2015+ Device cost + installation/config + Training</t>
  </si>
  <si>
    <t>Average Runtime - G1 (in Lab)</t>
  </si>
  <si>
    <t>fully laoded cost/minilab in rx in 2015</t>
  </si>
  <si>
    <t>onsite Device Deployment Rate (% of Rx) in 2015</t>
  </si>
  <si>
    <t>Blended sale price/cartdidge to ICU/ER (onsite)</t>
  </si>
  <si>
    <t>Lines of Production</t>
  </si>
  <si>
    <t>Proforma Quaterly Statement of Cash Flow</t>
  </si>
  <si>
    <t>Projected COGS</t>
  </si>
  <si>
    <t>160M</t>
  </si>
  <si>
    <t>200M+</t>
  </si>
  <si>
    <t>[Lives Covered through executed agreements with payors  in US]</t>
  </si>
  <si>
    <t>220M+</t>
  </si>
  <si>
    <t>Research &amp; Development (including Killer software apps &amp; support)</t>
  </si>
  <si>
    <t>Projected OpEx</t>
  </si>
  <si>
    <t>Services NBL by Walgreens</t>
  </si>
  <si>
    <t>Notes payable</t>
  </si>
  <si>
    <t>Long term debt</t>
  </si>
  <si>
    <t>Note Receivable</t>
  </si>
  <si>
    <t>Accounts Receivable</t>
  </si>
  <si>
    <t>Consolidated Balance Sheets</t>
  </si>
  <si>
    <t>Services NBL by Other Retailers</t>
  </si>
  <si>
    <t>Proceeds from Equity Transactions</t>
  </si>
  <si>
    <t>Market Data</t>
  </si>
  <si>
    <t xml:space="preserve">MINILABS 
NEW PRODUCTION </t>
  </si>
  <si>
    <t>Samples Per day processed at Lab(s)</t>
  </si>
  <si>
    <t>NOTES:</t>
  </si>
  <si>
    <t>Hospital Contracts</t>
  </si>
  <si>
    <t>Boots Relationship</t>
  </si>
  <si>
    <t># of ICU Patients days per Year</t>
  </si>
  <si>
    <t>(this will number be 200% if not higher - multiple tests/day in ICU - if ICU physicians could do more sampling which they cant with larger draws)</t>
  </si>
  <si>
    <t>dollars in Theranos infrastructure and will be investing hundreds of millions of additional capital in 2014 and 2015. The Walgreens contract allows Theranos to maintain its branding inside every Walgreens store</t>
  </si>
  <si>
    <t>and is Walgreeens Exclusive Labortory provider across the entire United States across all of its 8800 pharmacies nationwide.</t>
  </si>
  <si>
    <t>every safeway pharmacy.</t>
  </si>
  <si>
    <t>Intellectual Property</t>
  </si>
  <si>
    <t>Theranos has hundreds of patents on file and many of its Key patents have already been issues. Equallly importantly, none of Theranos' patents have even been rejected or challanged.</t>
  </si>
  <si>
    <t>Payor Contracts</t>
  </si>
  <si>
    <t>Walgreens Partnership</t>
  </si>
  <si>
    <t>Please note that the following intangible assets are not included in the balance sheet above. These assets have been valued at multi-billion dollar valuation in the past.</t>
  </si>
  <si>
    <t>Theranos' Safeway Contract</t>
  </si>
  <si>
    <t>In addition, these Wellness Centers will be Theranos Branded inside and outside the Safeway stores and are located inside Safeway Stores.</t>
  </si>
  <si>
    <t>Theranos Wellness Centers will get exposure to tens of millions of unique customers every week by being next to Pharmacy inside</t>
  </si>
  <si>
    <t>Theranos Nucleic Acid Amplification Methodology</t>
  </si>
  <si>
    <t>Years</t>
  </si>
  <si>
    <t>Device Depreciation</t>
  </si>
  <si>
    <t>Depreciations PP&amp;E (SL assumed)</t>
  </si>
  <si>
    <t>By refernce, average medicare reimbursement is $65-85</t>
  </si>
  <si>
    <t>Theranos has a  long term strategic partnership with Walgreens. Walgreens has invested hundreds of millions of</t>
  </si>
  <si>
    <t>Theranos has invented its own NAA assays which allows it to offer NAA assays at drastically lower cost.</t>
  </si>
  <si>
    <t>Theranos has strategic partnerhips in place with some of key thought leaders in the US including Intermountain Healthcare which is also an Investor in Theranos. These partnerships gives Theranos access to largest ACO, hundreds of hospitals and thousdands of physician offices.</t>
  </si>
  <si>
    <t>Safeway has already built out Theranos Wellness Centers at over 960+ Safeway Pharmacies nationwide with an investment of about $400M</t>
  </si>
  <si>
    <t>Through Theranos' partnership with Walgreens, Theranos has access to Boots stores throughout Europe across the Boots Pharmacy network. Boots currently operates over 3400 pharmacies across Europe.</t>
  </si>
  <si>
    <t>Theranos has contracts with largest insurances companies in US and every market Theranos enters. Theranos has provider agreement in place with UHG - the largest private insurer in the US.</t>
  </si>
  <si>
    <t>Number of Patients Processed</t>
  </si>
  <si>
    <t>Requisitions 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</si>
</sst>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
    <numFmt numFmtId="167" formatCode="#,##0\ \ \ \ ;[Red]\(#,##0\)\ \ \ ;\—\ \ \ \ "/>
  </numFmts>
  <fonts count="35" x14ac:knownFonts="1">
    <font>
      <sz val="10"/>
      <name val="Verdan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Verdana"/>
      <family val="2"/>
    </font>
    <font>
      <sz val="10"/>
      <name val="Verdana"/>
      <family val="2"/>
    </font>
    <font>
      <b/>
      <sz val="10"/>
      <name val="Verdana"/>
      <family val="2"/>
    </font>
    <font>
      <sz val="10"/>
      <name val="Verdana"/>
      <family val="2"/>
    </font>
    <font>
      <sz val="8"/>
      <name val="Verdana"/>
      <family val="2"/>
    </font>
    <font>
      <b/>
      <u/>
      <sz val="10"/>
      <name val="Verdana"/>
      <family val="2"/>
    </font>
    <font>
      <u/>
      <sz val="10"/>
      <name val="Verdana"/>
      <family val="2"/>
    </font>
    <font>
      <b/>
      <sz val="8"/>
      <name val="Verdana"/>
      <family val="2"/>
    </font>
    <font>
      <sz val="10"/>
      <name val="Verdana"/>
      <family val="2"/>
    </font>
    <font>
      <sz val="18"/>
      <name val="Verdana"/>
      <family val="2"/>
    </font>
    <font>
      <b/>
      <sz val="10"/>
      <name val="Verdana"/>
      <family val="2"/>
    </font>
    <font>
      <sz val="10"/>
      <name val="Verdana"/>
      <family val="2"/>
    </font>
    <font>
      <u/>
      <sz val="10"/>
      <color theme="10"/>
      <name val="Verdana"/>
      <family val="2"/>
    </font>
    <font>
      <u/>
      <sz val="10"/>
      <color theme="11"/>
      <name val="Verdana"/>
      <family val="2"/>
    </font>
    <font>
      <b/>
      <sz val="18"/>
      <name val="Verdana"/>
      <family val="2"/>
    </font>
    <font>
      <b/>
      <sz val="8"/>
      <name val="Verdana"/>
      <family val="2"/>
    </font>
    <font>
      <sz val="10"/>
      <color rgb="FFFF0000"/>
      <name val="Verdana"/>
      <family val="2"/>
    </font>
    <font>
      <sz val="8"/>
      <name val="Verdana"/>
      <family val="2"/>
    </font>
    <font>
      <i/>
      <sz val="10"/>
      <name val="Verdana"/>
      <family val="2"/>
    </font>
    <font>
      <sz val="12"/>
      <name val="Verdana"/>
      <family val="2"/>
    </font>
    <font>
      <b/>
      <sz val="12"/>
      <name val="Verdana"/>
      <family val="2"/>
    </font>
    <font>
      <i/>
      <sz val="8"/>
      <name val="Verdana"/>
      <family val="2"/>
    </font>
    <font>
      <sz val="11"/>
      <color indexed="8"/>
      <name val="Times New Roman"/>
      <family val="1"/>
    </font>
    <font>
      <b/>
      <sz val="11"/>
      <name val="Times New Roman"/>
      <family val="1"/>
    </font>
    <font>
      <sz val="11"/>
      <name val="Times New Roman"/>
      <family val="1"/>
    </font>
    <font>
      <sz val="11"/>
      <name val="Verdana"/>
      <family val="2"/>
    </font>
    <font>
      <sz val="10"/>
      <color rgb="FF00B050"/>
      <name val="Verdana"/>
      <family val="2"/>
    </font>
    <font>
      <b/>
      <sz val="11"/>
      <color theme="1"/>
      <name val="Calibri"/>
      <family val="2"/>
      <scheme val="minor"/>
    </font>
    <font>
      <b/>
      <u/>
      <sz val="11"/>
      <color theme="1"/>
      <name val="Calibri"/>
      <family val="2"/>
      <scheme val="minor"/>
    </font>
  </fonts>
  <fills count="2">
    <fill>
      <patternFill patternType="none"/>
    </fill>
    <fill>
      <patternFill patternType="gray125"/>
    </fill>
  </fills>
  <borders count="32">
    <border>
      <left/>
      <right/>
      <top/>
      <bottom/>
      <diagonal/>
    </border>
    <border>
      <left/>
      <right style="thin">
        <color auto="1"/>
      </right>
      <top/>
      <bottom/>
      <diagonal/>
    </border>
    <border>
      <left style="thin">
        <color auto="1"/>
      </left>
      <right/>
      <top/>
      <bottom/>
      <diagonal/>
    </border>
    <border>
      <left style="thin">
        <color auto="1"/>
      </left>
      <right/>
      <top/>
      <bottom style="thin">
        <color auto="1"/>
      </bottom>
      <diagonal/>
    </border>
    <border>
      <left/>
      <right/>
      <top style="medium">
        <color auto="1"/>
      </top>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
      <left/>
      <right/>
      <top style="thin">
        <color auto="1"/>
      </top>
      <bottom/>
      <diagonal/>
    </border>
    <border>
      <left/>
      <right style="thin">
        <color auto="1"/>
      </right>
      <top/>
      <bottom style="thin">
        <color auto="1"/>
      </bottom>
      <diagonal/>
    </border>
    <border>
      <left style="medium">
        <color auto="1"/>
      </left>
      <right/>
      <top/>
      <bottom/>
      <diagonal/>
    </border>
    <border>
      <left style="medium">
        <color auto="1"/>
      </left>
      <right/>
      <top style="medium">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double">
        <color indexed="64"/>
      </bottom>
      <diagonal/>
    </border>
    <border>
      <left/>
      <right style="thin">
        <color auto="1"/>
      </right>
      <top style="thin">
        <color indexed="64"/>
      </top>
      <bottom style="double">
        <color indexed="64"/>
      </bottom>
      <diagonal/>
    </border>
    <border>
      <left style="thin">
        <color auto="1"/>
      </left>
      <right style="thin">
        <color auto="1"/>
      </right>
      <top style="thin">
        <color indexed="64"/>
      </top>
      <bottom style="double">
        <color indexed="64"/>
      </bottom>
      <diagonal/>
    </border>
    <border>
      <left style="thin">
        <color auto="1"/>
      </left>
      <right/>
      <top style="thin">
        <color indexed="64"/>
      </top>
      <bottom style="double">
        <color indexed="64"/>
      </bottom>
      <diagonal/>
    </border>
    <border>
      <left style="thin">
        <color indexed="64"/>
      </left>
      <right style="thin">
        <color indexed="64"/>
      </right>
      <top/>
      <bottom/>
      <diagonal/>
    </border>
    <border>
      <left/>
      <right/>
      <top/>
      <bottom style="double">
        <color indexed="64"/>
      </bottom>
      <diagonal/>
    </border>
    <border>
      <left style="thin">
        <color indexed="64"/>
      </left>
      <right style="thin">
        <color indexed="64"/>
      </right>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medium">
        <color auto="1"/>
      </top>
      <bottom/>
      <diagonal/>
    </border>
    <border>
      <left/>
      <right style="thin">
        <color indexed="64"/>
      </right>
      <top/>
      <bottom style="double">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118">
    <xf numFmtId="0" fontId="0" fillId="0" borderId="0"/>
    <xf numFmtId="43" fontId="9" fillId="0" borderId="0" applyFont="0" applyFill="0" applyBorder="0" applyAlignment="0" applyProtection="0"/>
    <xf numFmtId="44" fontId="9" fillId="0" borderId="0" applyFont="0" applyFill="0" applyBorder="0" applyAlignment="0" applyProtection="0"/>
    <xf numFmtId="9" fontId="7"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17" fillId="0" borderId="0"/>
    <xf numFmtId="9"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2" fontId="17" fillId="0" borderId="0" applyFont="0" applyFill="0" applyBorder="0" applyAlignment="0" applyProtection="0"/>
    <xf numFmtId="167" fontId="28" fillId="0" borderId="0"/>
    <xf numFmtId="0" fontId="4" fillId="0" borderId="0"/>
    <xf numFmtId="44" fontId="4" fillId="0" borderId="0" applyFont="0" applyFill="0" applyBorder="0" applyAlignment="0" applyProtection="0"/>
    <xf numFmtId="43" fontId="4"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cellStyleXfs>
  <cellXfs count="289">
    <xf numFmtId="0" fontId="0" fillId="0" borderId="0" xfId="0"/>
    <xf numFmtId="0" fontId="6" fillId="0" borderId="0" xfId="0" applyFont="1" applyFill="1" applyBorder="1" applyAlignment="1">
      <alignment horizontal="center"/>
    </xf>
    <xf numFmtId="165" fontId="10" fillId="0" borderId="0" xfId="1" applyNumberFormat="1" applyFont="1" applyFill="1" applyBorder="1"/>
    <xf numFmtId="0" fontId="0" fillId="0" borderId="0" xfId="0" applyFill="1"/>
    <xf numFmtId="165" fontId="7" fillId="0" borderId="7" xfId="1" applyNumberFormat="1" applyFont="1" applyFill="1" applyBorder="1" applyAlignment="1">
      <alignment horizontal="center"/>
    </xf>
    <xf numFmtId="165" fontId="7" fillId="0" borderId="7" xfId="1" applyNumberFormat="1" applyFont="1" applyFill="1" applyBorder="1" applyAlignment="1">
      <alignment horizontal="right"/>
    </xf>
    <xf numFmtId="165" fontId="7" fillId="0" borderId="9" xfId="1" applyNumberFormat="1" applyFont="1" applyFill="1" applyBorder="1" applyAlignment="1">
      <alignment horizontal="center"/>
    </xf>
    <xf numFmtId="165" fontId="7" fillId="0" borderId="0" xfId="1" applyNumberFormat="1" applyFont="1" applyFill="1" applyBorder="1" applyAlignment="1">
      <alignment horizontal="center"/>
    </xf>
    <xf numFmtId="165" fontId="9" fillId="0" borderId="0" xfId="1" applyNumberFormat="1" applyFont="1" applyFill="1" applyBorder="1" applyAlignment="1">
      <alignment horizontal="center"/>
    </xf>
    <xf numFmtId="165" fontId="9" fillId="0" borderId="1" xfId="1" applyNumberFormat="1" applyFont="1" applyFill="1" applyBorder="1" applyAlignment="1">
      <alignment horizontal="center"/>
    </xf>
    <xf numFmtId="165" fontId="7" fillId="0" borderId="0" xfId="1" applyNumberFormat="1" applyFont="1" applyFill="1" applyAlignment="1">
      <alignment horizontal="center"/>
    </xf>
    <xf numFmtId="165" fontId="7" fillId="0" borderId="0" xfId="1" applyNumberFormat="1" applyFont="1" applyFill="1" applyBorder="1" applyAlignment="1">
      <alignment horizontal="right"/>
    </xf>
    <xf numFmtId="165" fontId="7" fillId="0" borderId="1" xfId="1" applyNumberFormat="1" applyFont="1" applyFill="1" applyBorder="1" applyAlignment="1">
      <alignment horizontal="center"/>
    </xf>
    <xf numFmtId="165" fontId="7" fillId="0" borderId="0" xfId="1" applyNumberFormat="1" applyFont="1" applyFill="1" applyBorder="1"/>
    <xf numFmtId="0" fontId="8" fillId="0" borderId="0" xfId="0" applyFont="1" applyFill="1"/>
    <xf numFmtId="164" fontId="7" fillId="0" borderId="0" xfId="2" applyNumberFormat="1" applyFont="1" applyFill="1" applyBorder="1"/>
    <xf numFmtId="0" fontId="0" fillId="0" borderId="0" xfId="0" applyFill="1" applyBorder="1"/>
    <xf numFmtId="164" fontId="14" fillId="0" borderId="0" xfId="2" applyNumberFormat="1" applyFont="1" applyFill="1" applyBorder="1"/>
    <xf numFmtId="0" fontId="8" fillId="0" borderId="0" xfId="0" applyFont="1" applyFill="1" applyAlignment="1">
      <alignment horizontal="left"/>
    </xf>
    <xf numFmtId="0" fontId="8" fillId="0" borderId="0" xfId="0" applyFont="1" applyFill="1" applyAlignment="1">
      <alignment horizontal="center"/>
    </xf>
    <xf numFmtId="17" fontId="8" fillId="0" borderId="0" xfId="0" applyNumberFormat="1" applyFont="1" applyFill="1" applyAlignment="1">
      <alignment horizontal="center"/>
    </xf>
    <xf numFmtId="17" fontId="8" fillId="0" borderId="1" xfId="0" applyNumberFormat="1" applyFont="1" applyFill="1" applyBorder="1" applyAlignment="1">
      <alignment horizontal="center"/>
    </xf>
    <xf numFmtId="17" fontId="8" fillId="0" borderId="0" xfId="0" applyNumberFormat="1" applyFont="1" applyFill="1" applyBorder="1" applyAlignment="1">
      <alignment horizontal="center"/>
    </xf>
    <xf numFmtId="165" fontId="6" fillId="0" borderId="7" xfId="1" applyNumberFormat="1" applyFont="1" applyFill="1" applyBorder="1" applyAlignment="1">
      <alignment horizontal="center"/>
    </xf>
    <xf numFmtId="165" fontId="6" fillId="0" borderId="9" xfId="1" applyNumberFormat="1" applyFont="1" applyFill="1" applyBorder="1" applyAlignment="1">
      <alignment horizontal="center"/>
    </xf>
    <xf numFmtId="0" fontId="8" fillId="0" borderId="7" xfId="0" applyFont="1" applyFill="1" applyBorder="1" applyAlignment="1">
      <alignment horizontal="center"/>
    </xf>
    <xf numFmtId="165" fontId="10" fillId="0" borderId="0" xfId="1" applyNumberFormat="1" applyFont="1" applyFill="1" applyAlignment="1">
      <alignment horizontal="center"/>
    </xf>
    <xf numFmtId="165" fontId="10" fillId="0" borderId="1" xfId="1" applyNumberFormat="1" applyFont="1" applyFill="1" applyBorder="1" applyAlignment="1">
      <alignment horizontal="center"/>
    </xf>
    <xf numFmtId="165" fontId="10" fillId="0" borderId="0" xfId="1" applyNumberFormat="1" applyFont="1" applyFill="1" applyBorder="1" applyAlignment="1">
      <alignment horizontal="center"/>
    </xf>
    <xf numFmtId="165" fontId="13" fillId="0" borderId="7" xfId="1" applyNumberFormat="1" applyFont="1" applyFill="1" applyBorder="1" applyAlignment="1">
      <alignment horizontal="center"/>
    </xf>
    <xf numFmtId="165" fontId="14" fillId="0" borderId="0" xfId="1" applyNumberFormat="1" applyFont="1" applyFill="1" applyBorder="1" applyAlignment="1">
      <alignment horizontal="right"/>
    </xf>
    <xf numFmtId="165" fontId="9" fillId="0" borderId="0" xfId="1" applyNumberFormat="1" applyFont="1" applyFill="1" applyAlignment="1">
      <alignment horizontal="center"/>
    </xf>
    <xf numFmtId="165" fontId="14" fillId="0" borderId="0" xfId="1" applyNumberFormat="1" applyFont="1" applyFill="1" applyAlignment="1">
      <alignment horizontal="center"/>
    </xf>
    <xf numFmtId="165" fontId="14" fillId="0" borderId="0" xfId="1" applyNumberFormat="1" applyFont="1" applyFill="1" applyBorder="1"/>
    <xf numFmtId="165" fontId="14" fillId="0" borderId="0" xfId="1" applyNumberFormat="1" applyFont="1" applyFill="1" applyBorder="1" applyAlignment="1">
      <alignment horizontal="center"/>
    </xf>
    <xf numFmtId="165" fontId="14" fillId="0" borderId="1" xfId="1" applyNumberFormat="1" applyFont="1" applyFill="1" applyBorder="1" applyAlignment="1">
      <alignment horizontal="center"/>
    </xf>
    <xf numFmtId="164" fontId="0" fillId="0" borderId="1" xfId="2" applyNumberFormat="1" applyFont="1" applyFill="1" applyBorder="1"/>
    <xf numFmtId="164" fontId="0" fillId="0" borderId="0" xfId="2" applyNumberFormat="1" applyFont="1" applyFill="1" applyBorder="1"/>
    <xf numFmtId="0" fontId="6" fillId="0" borderId="0" xfId="0" applyFont="1" applyFill="1" applyBorder="1" applyAlignment="1">
      <alignment horizontal="right"/>
    </xf>
    <xf numFmtId="0" fontId="0" fillId="0" borderId="1" xfId="0" applyFill="1" applyBorder="1"/>
    <xf numFmtId="0" fontId="15" fillId="0" borderId="0" xfId="0" applyFont="1" applyFill="1" applyBorder="1" applyAlignment="1">
      <alignment horizontal="center" vertical="center" textRotation="90"/>
    </xf>
    <xf numFmtId="165" fontId="7" fillId="0" borderId="0" xfId="1" applyNumberFormat="1" applyFont="1" applyFill="1" applyAlignment="1">
      <alignment horizontal="right"/>
    </xf>
    <xf numFmtId="165" fontId="6" fillId="0" borderId="7" xfId="1" applyNumberFormat="1" applyFont="1" applyFill="1" applyBorder="1" applyAlignment="1">
      <alignment horizontal="right"/>
    </xf>
    <xf numFmtId="165" fontId="10" fillId="0" borderId="0" xfId="1" applyNumberFormat="1" applyFont="1" applyFill="1" applyAlignment="1">
      <alignment horizontal="right"/>
    </xf>
    <xf numFmtId="165" fontId="13" fillId="0" borderId="0" xfId="1" applyNumberFormat="1" applyFont="1" applyFill="1" applyBorder="1" applyAlignment="1">
      <alignment horizontal="center"/>
    </xf>
    <xf numFmtId="164" fontId="7" fillId="0" borderId="1" xfId="2" applyNumberFormat="1" applyFont="1" applyFill="1" applyBorder="1"/>
    <xf numFmtId="0" fontId="6" fillId="0" borderId="1" xfId="0" applyFont="1" applyFill="1" applyBorder="1" applyAlignment="1">
      <alignment horizontal="center"/>
    </xf>
    <xf numFmtId="165" fontId="7" fillId="0" borderId="1" xfId="0" applyNumberFormat="1" applyFont="1" applyFill="1" applyBorder="1" applyAlignment="1">
      <alignment horizontal="center"/>
    </xf>
    <xf numFmtId="165" fontId="7" fillId="0" borderId="9" xfId="0" applyNumberFormat="1" applyFont="1" applyFill="1" applyBorder="1" applyAlignment="1">
      <alignment horizontal="center"/>
    </xf>
    <xf numFmtId="165" fontId="7" fillId="0" borderId="1" xfId="1" applyNumberFormat="1" applyFont="1" applyFill="1" applyBorder="1"/>
    <xf numFmtId="165" fontId="14" fillId="0" borderId="1" xfId="1" applyNumberFormat="1" applyFont="1" applyFill="1" applyBorder="1"/>
    <xf numFmtId="0" fontId="9" fillId="0" borderId="1" xfId="0" applyFont="1" applyFill="1" applyBorder="1"/>
    <xf numFmtId="9" fontId="10" fillId="0" borderId="0" xfId="3" applyFont="1" applyFill="1" applyBorder="1" applyAlignment="1">
      <alignment horizontal="center"/>
    </xf>
    <xf numFmtId="0" fontId="7" fillId="0" borderId="0" xfId="0" applyFont="1" applyFill="1" applyBorder="1" applyAlignment="1">
      <alignment horizontal="center"/>
    </xf>
    <xf numFmtId="0" fontId="14" fillId="0" borderId="0" xfId="0" applyFont="1" applyFill="1" applyBorder="1"/>
    <xf numFmtId="165" fontId="17" fillId="0" borderId="0" xfId="1" applyNumberFormat="1" applyFont="1" applyFill="1" applyAlignment="1">
      <alignment horizontal="right"/>
    </xf>
    <xf numFmtId="165" fontId="0" fillId="0" borderId="7" xfId="1" applyNumberFormat="1" applyFont="1" applyFill="1" applyBorder="1" applyAlignment="1">
      <alignment horizontal="right"/>
    </xf>
    <xf numFmtId="165" fontId="6" fillId="0" borderId="0" xfId="1" applyNumberFormat="1" applyFont="1" applyFill="1" applyBorder="1" applyAlignment="1">
      <alignment horizontal="center" vertical="center" wrapText="1"/>
    </xf>
    <xf numFmtId="0" fontId="15" fillId="0" borderId="0" xfId="0" applyFont="1" applyFill="1" applyBorder="1" applyAlignment="1">
      <alignment horizontal="center" vertical="center" textRotation="90"/>
    </xf>
    <xf numFmtId="0" fontId="8" fillId="0" borderId="0" xfId="0" applyFont="1" applyFill="1" applyAlignment="1">
      <alignment horizontal="center"/>
    </xf>
    <xf numFmtId="165" fontId="16" fillId="0" borderId="0" xfId="1" applyNumberFormat="1" applyFont="1" applyFill="1" applyBorder="1" applyAlignment="1">
      <alignment horizontal="right" wrapText="1"/>
    </xf>
    <xf numFmtId="165" fontId="6" fillId="0" borderId="0" xfId="1" applyNumberFormat="1" applyFont="1" applyFill="1" applyBorder="1" applyAlignment="1">
      <alignment vertical="center" wrapText="1"/>
    </xf>
    <xf numFmtId="165" fontId="6" fillId="0" borderId="14" xfId="1" applyNumberFormat="1" applyFont="1" applyFill="1" applyBorder="1" applyAlignment="1">
      <alignment vertical="center" wrapText="1"/>
    </xf>
    <xf numFmtId="165" fontId="17" fillId="0" borderId="14" xfId="1" applyNumberFormat="1" applyFont="1" applyFill="1" applyBorder="1" applyAlignment="1">
      <alignment horizontal="right"/>
    </xf>
    <xf numFmtId="165" fontId="7" fillId="0" borderId="14" xfId="1" applyNumberFormat="1" applyFont="1" applyFill="1" applyBorder="1" applyAlignment="1">
      <alignment horizontal="center"/>
    </xf>
    <xf numFmtId="165" fontId="7" fillId="0" borderId="14" xfId="1" applyNumberFormat="1" applyFont="1" applyFill="1" applyBorder="1" applyAlignment="1">
      <alignment horizontal="right"/>
    </xf>
    <xf numFmtId="165" fontId="7" fillId="0" borderId="15" xfId="1" applyNumberFormat="1" applyFont="1" applyFill="1" applyBorder="1" applyAlignment="1">
      <alignment horizontal="center"/>
    </xf>
    <xf numFmtId="165" fontId="7" fillId="0" borderId="8" xfId="1" applyNumberFormat="1" applyFont="1" applyFill="1" applyBorder="1" applyAlignment="1">
      <alignment horizontal="right"/>
    </xf>
    <xf numFmtId="165" fontId="7" fillId="0" borderId="8" xfId="1" applyNumberFormat="1" applyFont="1" applyFill="1" applyBorder="1" applyAlignment="1">
      <alignment horizontal="center"/>
    </xf>
    <xf numFmtId="165" fontId="7" fillId="0" borderId="6" xfId="1" applyNumberFormat="1" applyFont="1" applyFill="1" applyBorder="1" applyAlignment="1">
      <alignment horizontal="center"/>
    </xf>
    <xf numFmtId="165" fontId="7" fillId="0" borderId="6" xfId="0" applyNumberFormat="1" applyFont="1" applyFill="1" applyBorder="1" applyAlignment="1">
      <alignment horizontal="center"/>
    </xf>
    <xf numFmtId="165" fontId="0" fillId="0" borderId="0" xfId="1" applyNumberFormat="1" applyFont="1" applyFill="1" applyBorder="1" applyAlignment="1">
      <alignment horizontal="center"/>
    </xf>
    <xf numFmtId="165" fontId="0" fillId="0" borderId="1" xfId="1" applyNumberFormat="1" applyFont="1" applyFill="1" applyBorder="1" applyAlignment="1">
      <alignment horizontal="center"/>
    </xf>
    <xf numFmtId="165" fontId="17" fillId="0" borderId="0" xfId="1" applyNumberFormat="1" applyFont="1" applyFill="1" applyBorder="1" applyAlignment="1">
      <alignment horizontal="right"/>
    </xf>
    <xf numFmtId="164" fontId="7" fillId="0" borderId="0" xfId="2" applyNumberFormat="1" applyFont="1" applyFill="1" applyAlignment="1">
      <alignment horizontal="center"/>
    </xf>
    <xf numFmtId="164" fontId="7" fillId="0" borderId="1" xfId="2" applyNumberFormat="1" applyFont="1" applyFill="1" applyBorder="1" applyAlignment="1">
      <alignment horizontal="center"/>
    </xf>
    <xf numFmtId="165" fontId="21" fillId="0" borderId="7" xfId="1" applyNumberFormat="1" applyFont="1" applyFill="1" applyBorder="1" applyAlignment="1">
      <alignment horizontal="right"/>
    </xf>
    <xf numFmtId="165" fontId="7" fillId="0" borderId="14" xfId="1" applyNumberFormat="1" applyFont="1" applyFill="1" applyBorder="1"/>
    <xf numFmtId="165" fontId="7" fillId="0" borderId="15" xfId="1" applyNumberFormat="1" applyFont="1" applyFill="1" applyBorder="1"/>
    <xf numFmtId="164" fontId="15" fillId="0" borderId="0" xfId="2" applyNumberFormat="1" applyFont="1" applyFill="1" applyBorder="1" applyAlignment="1">
      <alignment horizontal="center" vertical="center" textRotation="90"/>
    </xf>
    <xf numFmtId="164" fontId="17" fillId="0" borderId="0" xfId="2" applyNumberFormat="1" applyFont="1" applyFill="1" applyBorder="1" applyAlignment="1">
      <alignment horizontal="right"/>
    </xf>
    <xf numFmtId="164" fontId="7" fillId="0" borderId="0" xfId="2" applyNumberFormat="1" applyFont="1" applyFill="1" applyBorder="1" applyAlignment="1">
      <alignment horizontal="center"/>
    </xf>
    <xf numFmtId="164" fontId="7" fillId="0" borderId="0" xfId="2" applyNumberFormat="1" applyFont="1" applyFill="1" applyBorder="1" applyAlignment="1">
      <alignment horizontal="right"/>
    </xf>
    <xf numFmtId="164" fontId="13" fillId="0" borderId="0" xfId="2" applyNumberFormat="1" applyFont="1" applyFill="1" applyBorder="1" applyAlignment="1">
      <alignment horizontal="center"/>
    </xf>
    <xf numFmtId="43" fontId="7" fillId="0" borderId="0" xfId="1" applyNumberFormat="1" applyFont="1" applyFill="1" applyAlignment="1">
      <alignment horizontal="center"/>
    </xf>
    <xf numFmtId="165" fontId="22" fillId="0" borderId="0" xfId="1" applyNumberFormat="1" applyFont="1" applyFill="1" applyAlignment="1">
      <alignment horizontal="right"/>
    </xf>
    <xf numFmtId="165" fontId="0" fillId="0" borderId="0" xfId="1" applyNumberFormat="1" applyFont="1" applyFill="1" applyBorder="1"/>
    <xf numFmtId="165" fontId="0" fillId="0" borderId="1" xfId="1" applyNumberFormat="1" applyFont="1" applyFill="1" applyBorder="1"/>
    <xf numFmtId="44" fontId="0" fillId="0" borderId="0" xfId="2" applyFont="1" applyFill="1" applyBorder="1"/>
    <xf numFmtId="0" fontId="0" fillId="0" borderId="0" xfId="0" applyFill="1" applyAlignment="1">
      <alignment horizontal="right"/>
    </xf>
    <xf numFmtId="165" fontId="0" fillId="0" borderId="0" xfId="0" applyNumberFormat="1" applyFill="1"/>
    <xf numFmtId="165" fontId="23" fillId="0" borderId="0" xfId="1" applyNumberFormat="1" applyFont="1" applyFill="1" applyBorder="1" applyAlignment="1">
      <alignment horizontal="center"/>
    </xf>
    <xf numFmtId="165" fontId="17" fillId="0" borderId="0" xfId="1" applyNumberFormat="1" applyFont="1" applyFill="1" applyBorder="1" applyAlignment="1">
      <alignment horizontal="center"/>
    </xf>
    <xf numFmtId="165" fontId="14" fillId="0" borderId="14" xfId="0" applyNumberFormat="1" applyFont="1" applyFill="1" applyBorder="1"/>
    <xf numFmtId="165" fontId="14" fillId="0" borderId="15" xfId="0" applyNumberFormat="1" applyFont="1" applyFill="1" applyBorder="1"/>
    <xf numFmtId="165" fontId="17" fillId="0" borderId="1" xfId="1" applyNumberFormat="1" applyFont="1" applyFill="1" applyBorder="1" applyAlignment="1">
      <alignment horizontal="center"/>
    </xf>
    <xf numFmtId="165" fontId="0" fillId="0" borderId="1" xfId="0" applyNumberFormat="1" applyFill="1" applyBorder="1"/>
    <xf numFmtId="166" fontId="0" fillId="0" borderId="17" xfId="1" applyNumberFormat="1" applyFont="1" applyFill="1" applyBorder="1"/>
    <xf numFmtId="166" fontId="0" fillId="0" borderId="16" xfId="1" applyNumberFormat="1" applyFont="1" applyFill="1" applyBorder="1"/>
    <xf numFmtId="0" fontId="16" fillId="0" borderId="0" xfId="105" applyFont="1" applyFill="1"/>
    <xf numFmtId="0" fontId="17" fillId="0" borderId="0" xfId="105" applyFont="1" applyFill="1"/>
    <xf numFmtId="0" fontId="16" fillId="0" borderId="0" xfId="105" applyFont="1" applyFill="1" applyAlignment="1">
      <alignment horizontal="right"/>
    </xf>
    <xf numFmtId="0" fontId="16" fillId="0" borderId="18" xfId="105" applyFont="1" applyFill="1" applyBorder="1" applyAlignment="1">
      <alignment horizontal="center"/>
    </xf>
    <xf numFmtId="0" fontId="17" fillId="0" borderId="0" xfId="105" applyFont="1" applyFill="1" applyAlignment="1">
      <alignment horizontal="left"/>
    </xf>
    <xf numFmtId="164" fontId="17" fillId="0" borderId="18" xfId="107" applyNumberFormat="1" applyFont="1" applyFill="1" applyBorder="1"/>
    <xf numFmtId="0" fontId="17" fillId="0" borderId="19" xfId="105" applyFont="1" applyFill="1" applyBorder="1"/>
    <xf numFmtId="164" fontId="24" fillId="0" borderId="20" xfId="107" applyNumberFormat="1" applyFont="1" applyFill="1" applyBorder="1"/>
    <xf numFmtId="0" fontId="25" fillId="0" borderId="0" xfId="105" applyFont="1" applyFill="1"/>
    <xf numFmtId="0" fontId="26" fillId="0" borderId="0" xfId="105" applyFont="1" applyFill="1"/>
    <xf numFmtId="164" fontId="16" fillId="0" borderId="18" xfId="107" applyNumberFormat="1" applyFont="1" applyFill="1" applyBorder="1"/>
    <xf numFmtId="165" fontId="17" fillId="0" borderId="0" xfId="108" applyNumberFormat="1" applyFont="1" applyFill="1"/>
    <xf numFmtId="165" fontId="24" fillId="0" borderId="0" xfId="108" applyNumberFormat="1" applyFont="1" applyFill="1" applyAlignment="1">
      <alignment horizontal="right"/>
    </xf>
    <xf numFmtId="9" fontId="16" fillId="0" borderId="18" xfId="106" applyFont="1" applyFill="1" applyBorder="1"/>
    <xf numFmtId="10" fontId="17" fillId="0" borderId="18" xfId="106" applyNumberFormat="1" applyFont="1" applyFill="1" applyBorder="1"/>
    <xf numFmtId="0" fontId="27" fillId="0" borderId="0" xfId="105" applyFont="1" applyFill="1"/>
    <xf numFmtId="9" fontId="17" fillId="0" borderId="0" xfId="106" applyFont="1" applyFill="1"/>
    <xf numFmtId="0" fontId="17" fillId="0" borderId="0" xfId="105" applyFont="1" applyFill="1" applyBorder="1"/>
    <xf numFmtId="0" fontId="17" fillId="0" borderId="2" xfId="105" applyFont="1" applyFill="1" applyBorder="1"/>
    <xf numFmtId="42" fontId="17" fillId="0" borderId="0" xfId="109" applyFont="1" applyFill="1" applyBorder="1" applyAlignment="1">
      <alignment horizontal="right"/>
    </xf>
    <xf numFmtId="0" fontId="17" fillId="0" borderId="14" xfId="105" applyFont="1" applyFill="1" applyBorder="1"/>
    <xf numFmtId="0" fontId="17" fillId="0" borderId="11" xfId="105" applyFont="1" applyFill="1" applyBorder="1"/>
    <xf numFmtId="42" fontId="17" fillId="0" borderId="0" xfId="109" applyFont="1" applyFill="1" applyBorder="1"/>
    <xf numFmtId="0" fontId="17" fillId="0" borderId="10" xfId="105" applyFont="1" applyFill="1" applyBorder="1"/>
    <xf numFmtId="42" fontId="16" fillId="0" borderId="0" xfId="109" applyFont="1" applyFill="1" applyBorder="1"/>
    <xf numFmtId="0" fontId="12" fillId="0" borderId="10" xfId="105" applyFont="1" applyFill="1" applyBorder="1"/>
    <xf numFmtId="0" fontId="17" fillId="0" borderId="10" xfId="105" applyFont="1" applyFill="1" applyBorder="1" applyAlignment="1">
      <alignment horizontal="right"/>
    </xf>
    <xf numFmtId="42" fontId="17" fillId="0" borderId="19" xfId="109" applyFont="1" applyFill="1" applyBorder="1"/>
    <xf numFmtId="42" fontId="17" fillId="0" borderId="0" xfId="109" applyNumberFormat="1" applyFont="1" applyFill="1" applyBorder="1"/>
    <xf numFmtId="0" fontId="16" fillId="0" borderId="21" xfId="105" applyFont="1" applyFill="1" applyBorder="1"/>
    <xf numFmtId="0" fontId="16" fillId="0" borderId="0" xfId="105" applyFont="1" applyFill="1" applyBorder="1"/>
    <xf numFmtId="6" fontId="17" fillId="0" borderId="0" xfId="105" applyNumberFormat="1" applyFont="1" applyFill="1" applyBorder="1"/>
    <xf numFmtId="0" fontId="16" fillId="0" borderId="22" xfId="105" applyFont="1" applyFill="1" applyBorder="1"/>
    <xf numFmtId="164" fontId="16" fillId="0" borderId="23" xfId="107" applyNumberFormat="1" applyFont="1" applyFill="1" applyBorder="1"/>
    <xf numFmtId="42" fontId="16" fillId="0" borderId="14" xfId="109" applyFont="1" applyFill="1" applyBorder="1" applyAlignment="1">
      <alignment horizontal="right"/>
    </xf>
    <xf numFmtId="164" fontId="17" fillId="0" borderId="18" xfId="107" applyNumberFormat="1" applyFont="1" applyFill="1" applyBorder="1" applyAlignment="1">
      <alignment horizontal="right"/>
    </xf>
    <xf numFmtId="0" fontId="17" fillId="0" borderId="24" xfId="105" applyFont="1" applyFill="1" applyBorder="1"/>
    <xf numFmtId="0" fontId="17" fillId="0" borderId="18" xfId="105" applyFont="1" applyFill="1" applyBorder="1"/>
    <xf numFmtId="164" fontId="17" fillId="0" borderId="18" xfId="2" applyNumberFormat="1" applyFont="1" applyFill="1" applyBorder="1"/>
    <xf numFmtId="164" fontId="17" fillId="0" borderId="18" xfId="2" applyNumberFormat="1" applyFont="1" applyFill="1" applyBorder="1" applyAlignment="1">
      <alignment horizontal="right"/>
    </xf>
    <xf numFmtId="164" fontId="25" fillId="0" borderId="18" xfId="2" applyNumberFormat="1" applyFont="1" applyFill="1" applyBorder="1"/>
    <xf numFmtId="0" fontId="16" fillId="0" borderId="24" xfId="105" applyFont="1" applyFill="1" applyBorder="1" applyAlignment="1">
      <alignment horizontal="center"/>
    </xf>
    <xf numFmtId="14" fontId="16" fillId="0" borderId="25" xfId="105" applyNumberFormat="1" applyFont="1" applyFill="1" applyBorder="1" applyAlignment="1">
      <alignment horizontal="center"/>
    </xf>
    <xf numFmtId="42" fontId="16" fillId="0" borderId="0" xfId="109" applyFont="1" applyFill="1" applyBorder="1" applyAlignment="1">
      <alignment horizontal="right"/>
    </xf>
    <xf numFmtId="164" fontId="17" fillId="0" borderId="4" xfId="107" applyNumberFormat="1" applyFont="1" applyFill="1" applyBorder="1"/>
    <xf numFmtId="42" fontId="16" fillId="0" borderId="22" xfId="109" applyFont="1" applyFill="1" applyBorder="1"/>
    <xf numFmtId="0" fontId="17" fillId="0" borderId="5" xfId="105" applyFont="1" applyFill="1" applyBorder="1"/>
    <xf numFmtId="0" fontId="16" fillId="0" borderId="8" xfId="105" applyFont="1" applyFill="1" applyBorder="1" applyAlignment="1">
      <alignment horizontal="right"/>
    </xf>
    <xf numFmtId="0" fontId="16" fillId="0" borderId="3" xfId="105" applyFont="1" applyFill="1" applyBorder="1"/>
    <xf numFmtId="0" fontId="16" fillId="0" borderId="12" xfId="105" applyFont="1" applyFill="1" applyBorder="1" applyAlignment="1">
      <alignment horizontal="right"/>
    </xf>
    <xf numFmtId="42" fontId="17" fillId="0" borderId="12" xfId="109" applyFont="1" applyFill="1" applyBorder="1"/>
    <xf numFmtId="42" fontId="16" fillId="0" borderId="13" xfId="109" applyFont="1" applyFill="1" applyBorder="1"/>
    <xf numFmtId="0" fontId="16" fillId="0" borderId="0" xfId="105" applyFont="1" applyFill="1" applyBorder="1" applyAlignment="1">
      <alignment horizontal="center"/>
    </xf>
    <xf numFmtId="0" fontId="17" fillId="0" borderId="0" xfId="105" applyFont="1" applyFill="1" applyBorder="1" applyAlignment="1">
      <alignment horizontal="right"/>
    </xf>
    <xf numFmtId="0" fontId="24" fillId="0" borderId="0" xfId="105" applyFont="1" applyFill="1" applyBorder="1" applyAlignment="1">
      <alignment horizontal="right"/>
    </xf>
    <xf numFmtId="9" fontId="0" fillId="0" borderId="0" xfId="3" applyFont="1"/>
    <xf numFmtId="0" fontId="16" fillId="0" borderId="0" xfId="0" applyFont="1"/>
    <xf numFmtId="164" fontId="17" fillId="0" borderId="0" xfId="107" applyNumberFormat="1" applyFont="1" applyFill="1" applyBorder="1"/>
    <xf numFmtId="164" fontId="17" fillId="0" borderId="26" xfId="107" applyNumberFormat="1" applyFont="1" applyFill="1" applyBorder="1"/>
    <xf numFmtId="0" fontId="17" fillId="0" borderId="0" xfId="0" applyFont="1" applyFill="1"/>
    <xf numFmtId="0" fontId="17" fillId="0" borderId="18" xfId="105" applyFont="1" applyFill="1" applyBorder="1" applyAlignment="1">
      <alignment horizontal="center"/>
    </xf>
    <xf numFmtId="14" fontId="17" fillId="0" borderId="25" xfId="105" applyNumberFormat="1" applyFont="1" applyFill="1" applyBorder="1" applyAlignment="1">
      <alignment horizontal="center"/>
    </xf>
    <xf numFmtId="164" fontId="17" fillId="0" borderId="23" xfId="107" applyNumberFormat="1" applyFont="1" applyFill="1" applyBorder="1"/>
    <xf numFmtId="9" fontId="17" fillId="0" borderId="18" xfId="3" applyFont="1" applyFill="1" applyBorder="1"/>
    <xf numFmtId="42" fontId="17" fillId="0" borderId="22" xfId="109" applyFont="1" applyFill="1" applyBorder="1"/>
    <xf numFmtId="6" fontId="16" fillId="0" borderId="18" xfId="107" applyNumberFormat="1" applyFont="1" applyFill="1" applyBorder="1"/>
    <xf numFmtId="0" fontId="16" fillId="0" borderId="12" xfId="105" applyFont="1" applyFill="1" applyBorder="1" applyAlignment="1">
      <alignment horizontal="left"/>
    </xf>
    <xf numFmtId="164" fontId="16" fillId="0" borderId="12" xfId="106" applyNumberFormat="1" applyFont="1" applyFill="1" applyBorder="1" applyAlignment="1">
      <alignment horizontal="right"/>
    </xf>
    <xf numFmtId="164" fontId="16" fillId="0" borderId="14" xfId="105" applyNumberFormat="1" applyFont="1" applyFill="1" applyBorder="1"/>
    <xf numFmtId="0" fontId="17" fillId="0" borderId="0" xfId="105" applyFont="1" applyFill="1" applyAlignment="1">
      <alignment horizontal="center"/>
    </xf>
    <xf numFmtId="164" fontId="16" fillId="0" borderId="14" xfId="105" applyNumberFormat="1" applyFont="1" applyFill="1" applyBorder="1" applyAlignment="1">
      <alignment horizontal="center"/>
    </xf>
    <xf numFmtId="164" fontId="17" fillId="0" borderId="0" xfId="107" applyNumberFormat="1" applyFont="1" applyFill="1" applyBorder="1" applyAlignment="1">
      <alignment horizontal="center"/>
    </xf>
    <xf numFmtId="164" fontId="17" fillId="0" borderId="14" xfId="105" applyNumberFormat="1" applyFont="1" applyFill="1" applyBorder="1"/>
    <xf numFmtId="164" fontId="16" fillId="0" borderId="0" xfId="105" applyNumberFormat="1" applyFont="1" applyFill="1"/>
    <xf numFmtId="9" fontId="17" fillId="0" borderId="0" xfId="3" applyFont="1" applyFill="1"/>
    <xf numFmtId="0" fontId="16" fillId="0" borderId="7" xfId="105" applyFont="1" applyFill="1" applyBorder="1"/>
    <xf numFmtId="9" fontId="16" fillId="0" borderId="22" xfId="3" applyFont="1" applyFill="1" applyBorder="1"/>
    <xf numFmtId="9" fontId="27" fillId="0" borderId="0" xfId="3" applyFont="1" applyFill="1"/>
    <xf numFmtId="164" fontId="31" fillId="0" borderId="18" xfId="2" applyNumberFormat="1" applyFont="1" applyFill="1" applyBorder="1"/>
    <xf numFmtId="0" fontId="7" fillId="0" borderId="0" xfId="105" applyFont="1" applyFill="1" applyAlignment="1">
      <alignment horizontal="left"/>
    </xf>
    <xf numFmtId="0" fontId="7" fillId="0" borderId="10" xfId="105" applyFont="1" applyFill="1" applyBorder="1" applyAlignment="1">
      <alignment horizontal="right"/>
    </xf>
    <xf numFmtId="0" fontId="7" fillId="0" borderId="0" xfId="105" applyFont="1" applyFill="1"/>
    <xf numFmtId="0" fontId="7" fillId="0" borderId="10" xfId="105" applyFont="1" applyFill="1" applyBorder="1"/>
    <xf numFmtId="164" fontId="7" fillId="0" borderId="18" xfId="107" applyNumberFormat="1" applyFont="1" applyFill="1" applyBorder="1"/>
    <xf numFmtId="0" fontId="7" fillId="0" borderId="12" xfId="105" applyFont="1" applyFill="1" applyBorder="1"/>
    <xf numFmtId="0" fontId="32" fillId="0" borderId="26" xfId="105" applyFont="1" applyFill="1" applyBorder="1" applyAlignment="1">
      <alignment horizontal="center"/>
    </xf>
    <xf numFmtId="0" fontId="7" fillId="0" borderId="26" xfId="105" applyFont="1" applyFill="1" applyBorder="1" applyAlignment="1">
      <alignment horizontal="center"/>
    </xf>
    <xf numFmtId="0" fontId="17" fillId="0" borderId="26" xfId="105" applyFont="1" applyFill="1" applyBorder="1" applyAlignment="1">
      <alignment horizontal="center"/>
    </xf>
    <xf numFmtId="9" fontId="17" fillId="0" borderId="0" xfId="3" applyNumberFormat="1" applyFont="1" applyFill="1"/>
    <xf numFmtId="0" fontId="6" fillId="0" borderId="0" xfId="0" applyFont="1" applyAlignment="1">
      <alignment horizontal="right"/>
    </xf>
    <xf numFmtId="0" fontId="3" fillId="0" borderId="0" xfId="114"/>
    <xf numFmtId="165" fontId="3" fillId="0" borderId="0" xfId="114" applyNumberFormat="1"/>
    <xf numFmtId="164" fontId="3" fillId="0" borderId="0" xfId="114" applyNumberFormat="1"/>
    <xf numFmtId="164" fontId="0" fillId="0" borderId="14" xfId="115" applyNumberFormat="1" applyFont="1" applyBorder="1"/>
    <xf numFmtId="0" fontId="33" fillId="0" borderId="0" xfId="114" applyFont="1"/>
    <xf numFmtId="165" fontId="0" fillId="0" borderId="0" xfId="116" applyNumberFormat="1" applyFont="1"/>
    <xf numFmtId="165" fontId="0" fillId="0" borderId="7" xfId="116" applyNumberFormat="1" applyFont="1" applyBorder="1"/>
    <xf numFmtId="0" fontId="3" fillId="0" borderId="0" xfId="114" applyAlignment="1">
      <alignment horizontal="left" indent="1"/>
    </xf>
    <xf numFmtId="9" fontId="0" fillId="0" borderId="0" xfId="117" applyFont="1"/>
    <xf numFmtId="165" fontId="0" fillId="0" borderId="0" xfId="116" applyNumberFormat="1" applyFont="1" applyBorder="1"/>
    <xf numFmtId="164" fontId="0" fillId="0" borderId="0" xfId="115" applyNumberFormat="1" applyFont="1"/>
    <xf numFmtId="164" fontId="3" fillId="0" borderId="14" xfId="114" applyNumberFormat="1" applyBorder="1"/>
    <xf numFmtId="0" fontId="3" fillId="0" borderId="0" xfId="114" applyFont="1" applyAlignment="1">
      <alignment horizontal="left" indent="1"/>
    </xf>
    <xf numFmtId="165" fontId="0" fillId="0" borderId="14" xfId="116" applyNumberFormat="1" applyFont="1" applyBorder="1"/>
    <xf numFmtId="0" fontId="33" fillId="0" borderId="0" xfId="114" applyFont="1" applyAlignment="1">
      <alignment horizontal="center"/>
    </xf>
    <xf numFmtId="14" fontId="29" fillId="0" borderId="7" xfId="110" applyNumberFormat="1" applyFont="1" applyFill="1" applyBorder="1" applyAlignment="1">
      <alignment horizontal="center"/>
    </xf>
    <xf numFmtId="0" fontId="30" fillId="0" borderId="0" xfId="114" applyNumberFormat="1" applyFont="1" applyFill="1" applyAlignment="1"/>
    <xf numFmtId="0" fontId="16" fillId="0" borderId="7" xfId="105" applyFont="1" applyFill="1" applyBorder="1" applyAlignment="1">
      <alignment horizontal="center"/>
    </xf>
    <xf numFmtId="0" fontId="2" fillId="0" borderId="0" xfId="114" applyFont="1"/>
    <xf numFmtId="0" fontId="7" fillId="0" borderId="0" xfId="0" applyFont="1" applyFill="1" applyBorder="1"/>
    <xf numFmtId="9" fontId="7" fillId="0" borderId="0" xfId="3" applyFont="1" applyFill="1" applyBorder="1"/>
    <xf numFmtId="0" fontId="7" fillId="0" borderId="5" xfId="0" applyFont="1" applyFill="1" applyBorder="1"/>
    <xf numFmtId="0" fontId="7" fillId="0" borderId="8" xfId="0" applyFont="1" applyFill="1" applyBorder="1"/>
    <xf numFmtId="0" fontId="7" fillId="0" borderId="6" xfId="0" applyFont="1" applyFill="1" applyBorder="1"/>
    <xf numFmtId="0" fontId="7" fillId="0" borderId="0" xfId="0" applyFont="1" applyFill="1"/>
    <xf numFmtId="0" fontId="7" fillId="0" borderId="1" xfId="0" applyFont="1" applyFill="1" applyBorder="1"/>
    <xf numFmtId="0" fontId="6" fillId="0" borderId="1" xfId="0" applyFont="1" applyFill="1" applyBorder="1" applyAlignment="1">
      <alignment horizontal="left"/>
    </xf>
    <xf numFmtId="0" fontId="7" fillId="0" borderId="2" xfId="0" applyFont="1" applyFill="1" applyBorder="1"/>
    <xf numFmtId="0" fontId="7" fillId="0" borderId="3" xfId="0" applyFont="1" applyFill="1" applyBorder="1"/>
    <xf numFmtId="0" fontId="6" fillId="0" borderId="7" xfId="0" applyFont="1" applyFill="1" applyBorder="1" applyAlignment="1">
      <alignment horizontal="right"/>
    </xf>
    <xf numFmtId="0" fontId="6" fillId="0" borderId="9" xfId="0" applyFont="1" applyFill="1" applyBorder="1" applyAlignment="1">
      <alignment horizontal="left"/>
    </xf>
    <xf numFmtId="0" fontId="6" fillId="0" borderId="8" xfId="0" applyFont="1" applyFill="1" applyBorder="1" applyAlignment="1">
      <alignment horizontal="center"/>
    </xf>
    <xf numFmtId="0" fontId="6" fillId="0" borderId="6" xfId="0" applyFont="1" applyFill="1" applyBorder="1" applyAlignment="1">
      <alignment horizontal="center"/>
    </xf>
    <xf numFmtId="0" fontId="6" fillId="0" borderId="0" xfId="0" applyFont="1" applyFill="1" applyBorder="1"/>
    <xf numFmtId="44" fontId="7" fillId="0" borderId="0" xfId="2" applyFont="1" applyFill="1" applyBorder="1" applyAlignment="1">
      <alignment horizontal="left"/>
    </xf>
    <xf numFmtId="44" fontId="7" fillId="0" borderId="0" xfId="2" applyFont="1" applyFill="1" applyBorder="1"/>
    <xf numFmtId="44" fontId="7" fillId="0" borderId="1" xfId="2" applyFont="1" applyFill="1" applyBorder="1"/>
    <xf numFmtId="0" fontId="7" fillId="0" borderId="7" xfId="0" applyFont="1" applyFill="1" applyBorder="1"/>
    <xf numFmtId="0" fontId="7" fillId="0" borderId="9" xfId="0" applyFont="1" applyFill="1" applyBorder="1"/>
    <xf numFmtId="0" fontId="11" fillId="0" borderId="5" xfId="0" applyFont="1" applyFill="1" applyBorder="1"/>
    <xf numFmtId="9" fontId="7" fillId="0" borderId="1" xfId="3" applyFont="1" applyFill="1" applyBorder="1"/>
    <xf numFmtId="165" fontId="7" fillId="0" borderId="1" xfId="0" applyNumberFormat="1" applyFont="1" applyFill="1" applyBorder="1"/>
    <xf numFmtId="165" fontId="7" fillId="0" borderId="0" xfId="0" applyNumberFormat="1" applyFont="1" applyFill="1" applyBorder="1"/>
    <xf numFmtId="0" fontId="6" fillId="0" borderId="5" xfId="0" applyFont="1" applyFill="1" applyBorder="1"/>
    <xf numFmtId="165" fontId="7" fillId="0" borderId="0" xfId="1" applyNumberFormat="1" applyFont="1" applyFill="1"/>
    <xf numFmtId="6" fontId="7" fillId="0" borderId="0" xfId="0" applyNumberFormat="1" applyFont="1" applyFill="1"/>
    <xf numFmtId="165" fontId="7" fillId="0" borderId="0" xfId="0" applyNumberFormat="1" applyFont="1" applyFill="1"/>
    <xf numFmtId="0" fontId="7" fillId="0" borderId="2" xfId="0" applyFont="1" applyFill="1" applyBorder="1" applyAlignment="1">
      <alignment horizontal="right"/>
    </xf>
    <xf numFmtId="0" fontId="7" fillId="0" borderId="5" xfId="0" applyFont="1" applyFill="1" applyBorder="1" applyAlignment="1">
      <alignment horizontal="right"/>
    </xf>
    <xf numFmtId="0" fontId="7" fillId="0" borderId="8" xfId="0" applyFont="1" applyFill="1" applyBorder="1" applyAlignment="1">
      <alignment horizontal="right"/>
    </xf>
    <xf numFmtId="0" fontId="7" fillId="0" borderId="6" xfId="0" applyFont="1" applyFill="1" applyBorder="1" applyAlignment="1">
      <alignment horizontal="left"/>
    </xf>
    <xf numFmtId="0" fontId="7" fillId="0" borderId="0" xfId="0" applyFont="1" applyFill="1" applyBorder="1" applyAlignment="1">
      <alignment horizontal="right"/>
    </xf>
    <xf numFmtId="0" fontId="7" fillId="0" borderId="1" xfId="0" applyFont="1" applyFill="1" applyBorder="1" applyAlignment="1">
      <alignment horizontal="left"/>
    </xf>
    <xf numFmtId="0" fontId="7" fillId="0" borderId="0" xfId="0" applyFont="1" applyFill="1" applyBorder="1" applyAlignment="1">
      <alignment horizontal="left"/>
    </xf>
    <xf numFmtId="6" fontId="7" fillId="0" borderId="0" xfId="0" applyNumberFormat="1" applyFont="1" applyFill="1" applyBorder="1"/>
    <xf numFmtId="14" fontId="17" fillId="0" borderId="27" xfId="105" applyNumberFormat="1" applyFont="1" applyFill="1" applyBorder="1" applyAlignment="1">
      <alignment horizontal="center"/>
    </xf>
    <xf numFmtId="14" fontId="16" fillId="0" borderId="6" xfId="105" applyNumberFormat="1" applyFont="1" applyFill="1" applyBorder="1" applyAlignment="1">
      <alignment horizontal="center"/>
    </xf>
    <xf numFmtId="42" fontId="16" fillId="0" borderId="1" xfId="109" applyFont="1" applyFill="1" applyBorder="1" applyAlignment="1">
      <alignment horizontal="right"/>
    </xf>
    <xf numFmtId="42" fontId="16" fillId="0" borderId="15" xfId="109" applyFont="1" applyFill="1" applyBorder="1" applyAlignment="1">
      <alignment horizontal="right"/>
    </xf>
    <xf numFmtId="164" fontId="17" fillId="0" borderId="28" xfId="107" applyNumberFormat="1" applyFont="1" applyFill="1" applyBorder="1"/>
    <xf numFmtId="42" fontId="17" fillId="0" borderId="1" xfId="109" applyFont="1" applyFill="1" applyBorder="1"/>
    <xf numFmtId="42" fontId="17" fillId="0" borderId="1" xfId="109" applyFont="1" applyFill="1" applyBorder="1" applyAlignment="1">
      <alignment horizontal="right"/>
    </xf>
    <xf numFmtId="42" fontId="17" fillId="0" borderId="29" xfId="109" applyFont="1" applyFill="1" applyBorder="1"/>
    <xf numFmtId="42" fontId="17" fillId="0" borderId="1" xfId="109" applyNumberFormat="1" applyFont="1" applyFill="1" applyBorder="1"/>
    <xf numFmtId="42" fontId="16" fillId="0" borderId="1" xfId="109" applyFont="1" applyFill="1" applyBorder="1"/>
    <xf numFmtId="42" fontId="16" fillId="0" borderId="30" xfId="109" applyFont="1" applyFill="1" applyBorder="1"/>
    <xf numFmtId="14" fontId="17" fillId="0" borderId="31" xfId="105" applyNumberFormat="1" applyFont="1" applyFill="1" applyBorder="1" applyAlignment="1">
      <alignment horizontal="center"/>
    </xf>
    <xf numFmtId="14" fontId="16" fillId="0" borderId="6" xfId="105" applyNumberFormat="1" applyFont="1" applyFill="1" applyBorder="1"/>
    <xf numFmtId="0" fontId="17" fillId="0" borderId="1" xfId="105" applyFont="1" applyFill="1" applyBorder="1"/>
    <xf numFmtId="42" fontId="16" fillId="0" borderId="15" xfId="105" applyNumberFormat="1" applyFont="1" applyFill="1" applyBorder="1"/>
    <xf numFmtId="164" fontId="17" fillId="0" borderId="1" xfId="2" applyNumberFormat="1" applyFont="1" applyFill="1" applyBorder="1"/>
    <xf numFmtId="164" fontId="17" fillId="0" borderId="1" xfId="2" applyNumberFormat="1" applyFont="1" applyFill="1" applyBorder="1" applyAlignment="1">
      <alignment horizontal="right"/>
    </xf>
    <xf numFmtId="164" fontId="17" fillId="0" borderId="29" xfId="2" applyNumberFormat="1" applyFont="1" applyFill="1" applyBorder="1"/>
    <xf numFmtId="14" fontId="16" fillId="0" borderId="8" xfId="105" applyNumberFormat="1" applyFont="1" applyFill="1" applyBorder="1"/>
    <xf numFmtId="42" fontId="16" fillId="0" borderId="14" xfId="105" applyNumberFormat="1" applyFont="1" applyFill="1" applyBorder="1"/>
    <xf numFmtId="164" fontId="17" fillId="0" borderId="0" xfId="2" applyNumberFormat="1" applyFont="1" applyFill="1" applyBorder="1"/>
    <xf numFmtId="164" fontId="17" fillId="0" borderId="19" xfId="2" applyNumberFormat="1" applyFont="1" applyFill="1" applyBorder="1"/>
    <xf numFmtId="165" fontId="6" fillId="0" borderId="14" xfId="1" applyNumberFormat="1" applyFont="1" applyFill="1" applyBorder="1" applyAlignment="1">
      <alignment horizontal="right"/>
    </xf>
    <xf numFmtId="165" fontId="6" fillId="0" borderId="14" xfId="1" applyNumberFormat="1" applyFont="1" applyFill="1" applyBorder="1" applyAlignment="1">
      <alignment horizontal="center"/>
    </xf>
    <xf numFmtId="165" fontId="6" fillId="0" borderId="15" xfId="1" applyNumberFormat="1" applyFont="1" applyFill="1" applyBorder="1" applyAlignment="1">
      <alignment horizontal="center"/>
    </xf>
    <xf numFmtId="0" fontId="34" fillId="0" borderId="0" xfId="114" applyFont="1"/>
    <xf numFmtId="42" fontId="6" fillId="0" borderId="12" xfId="109" applyFont="1" applyFill="1" applyBorder="1"/>
    <xf numFmtId="0" fontId="1" fillId="0" borderId="0" xfId="114" applyFont="1"/>
    <xf numFmtId="0" fontId="6" fillId="0" borderId="7" xfId="0" applyFont="1" applyFill="1" applyBorder="1" applyAlignment="1">
      <alignment horizontal="center" wrapText="1"/>
    </xf>
    <xf numFmtId="0" fontId="7" fillId="0" borderId="7" xfId="0" applyFont="1" applyFill="1" applyBorder="1" applyAlignment="1"/>
    <xf numFmtId="165" fontId="6" fillId="0" borderId="0" xfId="1" applyNumberFormat="1" applyFont="1" applyFill="1" applyBorder="1" applyAlignment="1">
      <alignment horizontal="center" vertical="center" wrapText="1"/>
    </xf>
    <xf numFmtId="165" fontId="16" fillId="0" borderId="1" xfId="1" applyNumberFormat="1" applyFont="1" applyFill="1" applyBorder="1" applyAlignment="1">
      <alignment horizontal="center" vertical="center" wrapText="1"/>
    </xf>
    <xf numFmtId="165" fontId="16" fillId="0" borderId="1" xfId="1" applyNumberFormat="1" applyFont="1" applyFill="1" applyBorder="1" applyAlignment="1">
      <alignment horizontal="right" vertical="center"/>
    </xf>
    <xf numFmtId="165" fontId="16" fillId="0" borderId="0" xfId="1" applyNumberFormat="1" applyFont="1" applyFill="1" applyBorder="1" applyAlignment="1">
      <alignment horizontal="right" vertical="center" wrapText="1"/>
    </xf>
    <xf numFmtId="0" fontId="6" fillId="0" borderId="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165" fontId="6" fillId="0" borderId="0" xfId="1" quotePrefix="1" applyNumberFormat="1" applyFont="1" applyFill="1" applyBorder="1" applyAlignment="1">
      <alignment horizontal="center" vertical="center" wrapText="1"/>
    </xf>
    <xf numFmtId="165" fontId="6" fillId="0" borderId="0" xfId="1" applyNumberFormat="1" applyFont="1" applyFill="1" applyBorder="1" applyAlignment="1">
      <alignment horizontal="left" vertical="center" wrapText="1"/>
    </xf>
    <xf numFmtId="0" fontId="20" fillId="0" borderId="0" xfId="0" applyFont="1" applyFill="1" applyBorder="1" applyAlignment="1">
      <alignment horizontal="center" textRotation="90"/>
    </xf>
    <xf numFmtId="0" fontId="20" fillId="0" borderId="7" xfId="0" applyFont="1" applyFill="1" applyBorder="1" applyAlignment="1">
      <alignment horizontal="center" textRotation="90"/>
    </xf>
    <xf numFmtId="0" fontId="29" fillId="0" borderId="0" xfId="114" applyNumberFormat="1" applyFont="1" applyFill="1" applyAlignment="1">
      <alignment horizontal="center"/>
    </xf>
    <xf numFmtId="0" fontId="30" fillId="0" borderId="0" xfId="114" applyNumberFormat="1" applyFont="1" applyFill="1" applyAlignment="1">
      <alignment horizontal="center"/>
    </xf>
  </cellXfs>
  <cellStyles count="118">
    <cellStyle name="Comma" xfId="1" builtinId="3"/>
    <cellStyle name="Comma 2" xfId="104" xr:uid="{00000000-0005-0000-0000-000001000000}"/>
    <cellStyle name="Comma 3" xfId="108" xr:uid="{00000000-0005-0000-0000-000002000000}"/>
    <cellStyle name="Comma 4" xfId="113" xr:uid="{00000000-0005-0000-0000-000003000000}"/>
    <cellStyle name="Comma 5" xfId="116" xr:uid="{00000000-0005-0000-0000-000004000000}"/>
    <cellStyle name="Currency" xfId="2" builtinId="4"/>
    <cellStyle name="Currency [0] 2" xfId="109" xr:uid="{00000000-0005-0000-0000-000006000000}"/>
    <cellStyle name="Currency 2" xfId="103" xr:uid="{00000000-0005-0000-0000-000007000000}"/>
    <cellStyle name="Currency 3" xfId="107" xr:uid="{00000000-0005-0000-0000-000008000000}"/>
    <cellStyle name="Currency 4" xfId="112" xr:uid="{00000000-0005-0000-0000-000009000000}"/>
    <cellStyle name="Currency 5" xfId="115" xr:uid="{00000000-0005-0000-0000-00000A000000}"/>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Normal" xfId="0" builtinId="0"/>
    <cellStyle name="Normal 2" xfId="102" xr:uid="{00000000-0005-0000-0000-00006E000000}"/>
    <cellStyle name="Normal 3" xfId="105" xr:uid="{00000000-0005-0000-0000-00006F000000}"/>
    <cellStyle name="Normal 3 2" xfId="110" xr:uid="{00000000-0005-0000-0000-000070000000}"/>
    <cellStyle name="Normal 4" xfId="111" xr:uid="{00000000-0005-0000-0000-000071000000}"/>
    <cellStyle name="Normal 5" xfId="114" xr:uid="{00000000-0005-0000-0000-000072000000}"/>
    <cellStyle name="Percent" xfId="3" builtinId="5"/>
    <cellStyle name="Percent 2" xfId="106" xr:uid="{00000000-0005-0000-0000-000074000000}"/>
    <cellStyle name="Percent 3" xfId="117" xr:uid="{00000000-0005-0000-0000-000075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181100" cy="352425"/>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81100" cy="3524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editAs="absolute">
    <xdr:from>
      <xdr:col>12</xdr:col>
      <xdr:colOff>34290</xdr:colOff>
      <xdr:row>22</xdr:row>
      <xdr:rowOff>71351</xdr:rowOff>
    </xdr:from>
    <xdr:to>
      <xdr:col>13</xdr:col>
      <xdr:colOff>40640</xdr:colOff>
      <xdr:row>24</xdr:row>
      <xdr:rowOff>75507</xdr:rowOff>
    </xdr:to>
    <xdr:sp macro="" textlink="">
      <xdr:nvSpPr>
        <xdr:cNvPr id="1045" name="Text Box 21" hidden="1">
          <a:extLst>
            <a:ext uri="{FF2B5EF4-FFF2-40B4-BE49-F238E27FC236}">
              <a16:creationId xmlns:a16="http://schemas.microsoft.com/office/drawing/2014/main" id="{00000000-0008-0000-0100-000015040000}"/>
            </a:ext>
          </a:extLst>
        </xdr:cNvPr>
        <xdr:cNvSpPr txBox="1">
          <a:spLocks noChangeArrowheads="1"/>
        </xdr:cNvSpPr>
      </xdr:nvSpPr>
      <xdr:spPr bwMode="auto">
        <a:xfrm>
          <a:off x="11811000" y="3530600"/>
          <a:ext cx="1447800" cy="330200"/>
        </a:xfrm>
        <a:prstGeom prst="rect">
          <a:avLst/>
        </a:prstGeom>
        <a:solidFill>
          <a:srgbClr val="FFFF99"/>
        </a:solidFill>
        <a:ln w="9525">
          <a:solidFill>
            <a:srgbClr val="000000"/>
          </a:solidFill>
          <a:miter lim="800000"/>
          <a:headEnd/>
          <a:tailEnd/>
        </a:ln>
        <a:effectLst>
          <a:outerShdw blurRad="63500" dist="38099" dir="2700000" algn="ctr" rotWithShape="0">
            <a:srgbClr val="000000">
              <a:alpha val="74998"/>
            </a:srgbClr>
          </a:outerShdw>
        </a:effectLst>
        <a:extLst>
          <a:ext uri="{53640926-AAD7-44D8-BBD7-CCE9431645EC}">
            <a14:shadowObscured xmlns:a14="http://schemas.microsoft.com/office/drawing/2010/main" val="1"/>
          </a:ext>
        </a:extLst>
      </xdr:spPr>
      <xdr:txBody>
        <a:bodyPr rtlCol="0"/>
        <a:lstStyle/>
        <a:p>
          <a:pPr algn="ctr"/>
          <a:endParaRPr lang="en-US"/>
        </a:p>
      </xdr:txBody>
    </xdr:sp>
    <xdr:clientData/>
  </xdr:twoCellAnchor>
  <xdr:twoCellAnchor editAs="absolute">
    <xdr:from>
      <xdr:col>14</xdr:col>
      <xdr:colOff>39370</xdr:colOff>
      <xdr:row>22</xdr:row>
      <xdr:rowOff>71351</xdr:rowOff>
    </xdr:from>
    <xdr:to>
      <xdr:col>15</xdr:col>
      <xdr:colOff>31750</xdr:colOff>
      <xdr:row>24</xdr:row>
      <xdr:rowOff>75507</xdr:rowOff>
    </xdr:to>
    <xdr:sp macro="" textlink="">
      <xdr:nvSpPr>
        <xdr:cNvPr id="1044" name="Text Box 20" hidden="1">
          <a:extLst>
            <a:ext uri="{FF2B5EF4-FFF2-40B4-BE49-F238E27FC236}">
              <a16:creationId xmlns:a16="http://schemas.microsoft.com/office/drawing/2014/main" id="{00000000-0008-0000-0100-000014040000}"/>
            </a:ext>
          </a:extLst>
        </xdr:cNvPr>
        <xdr:cNvSpPr txBox="1">
          <a:spLocks noChangeArrowheads="1"/>
        </xdr:cNvSpPr>
      </xdr:nvSpPr>
      <xdr:spPr bwMode="auto">
        <a:xfrm>
          <a:off x="14605000" y="3530600"/>
          <a:ext cx="1485900" cy="330200"/>
        </a:xfrm>
        <a:prstGeom prst="rect">
          <a:avLst/>
        </a:prstGeom>
        <a:solidFill>
          <a:srgbClr val="FFFF99"/>
        </a:solidFill>
        <a:ln w="9525">
          <a:solidFill>
            <a:srgbClr val="000000"/>
          </a:solidFill>
          <a:miter lim="800000"/>
          <a:headEnd/>
          <a:tailEnd/>
        </a:ln>
        <a:effectLst>
          <a:outerShdw blurRad="63500" dist="38099" dir="2700000" algn="ctr" rotWithShape="0">
            <a:srgbClr val="000000">
              <a:alpha val="74998"/>
            </a:srgbClr>
          </a:outerShdw>
        </a:effectLst>
        <a:extLst>
          <a:ext uri="{53640926-AAD7-44D8-BBD7-CCE9431645EC}">
            <a14:shadowObscured xmlns:a14="http://schemas.microsoft.com/office/drawing/2010/main" val="1"/>
          </a:ext>
        </a:extLst>
      </xdr:spPr>
      <xdr:txBody>
        <a:bodyPr rtlCol="0"/>
        <a:lstStyle/>
        <a:p>
          <a:pPr algn="ctr"/>
          <a:endParaRPr lang="en-US"/>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15875</xdr:colOff>
      <xdr:row>0</xdr:row>
      <xdr:rowOff>39688</xdr:rowOff>
    </xdr:from>
    <xdr:ext cx="1181100" cy="352425"/>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75" y="39688"/>
          <a:ext cx="1181100" cy="3524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17318</xdr:colOff>
      <xdr:row>0</xdr:row>
      <xdr:rowOff>34636</xdr:rowOff>
    </xdr:from>
    <xdr:ext cx="1181100" cy="352425"/>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318" y="34636"/>
          <a:ext cx="1181100" cy="3524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9525</xdr:colOff>
      <xdr:row>0</xdr:row>
      <xdr:rowOff>47625</xdr:rowOff>
    </xdr:from>
    <xdr:ext cx="1181100" cy="352425"/>
    <xdr:pic>
      <xdr:nvPicPr>
        <xdr:cNvPr id="2" name="Pictur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47625"/>
          <a:ext cx="1181100" cy="352425"/>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3"/>
  <sheetViews>
    <sheetView tabSelected="1" topLeftCell="A29" zoomScale="110" zoomScaleNormal="110" workbookViewId="0">
      <selection activeCell="B49" sqref="B49"/>
    </sheetView>
  </sheetViews>
  <sheetFormatPr defaultColWidth="8.75" defaultRowHeight="12.75" x14ac:dyDescent="0.2"/>
  <cols>
    <col min="1" max="1" width="52" style="213" bestFit="1" customWidth="1"/>
    <col min="2" max="2" width="44.125" style="213" customWidth="1"/>
    <col min="3" max="3" width="15.125" style="213" bestFit="1" customWidth="1"/>
    <col min="4" max="4" width="7.75" style="213" customWidth="1"/>
    <col min="5" max="7" width="11" style="213" customWidth="1"/>
    <col min="8" max="226" width="11" customWidth="1"/>
  </cols>
  <sheetData>
    <row r="1" spans="1:5" x14ac:dyDescent="0.2">
      <c r="A1" s="210"/>
      <c r="B1" s="211"/>
      <c r="C1" s="211"/>
      <c r="D1" s="212"/>
    </row>
    <row r="2" spans="1:5" x14ac:dyDescent="0.2">
      <c r="A2" s="216"/>
      <c r="B2" s="208"/>
      <c r="C2" s="208"/>
      <c r="D2" s="214"/>
    </row>
    <row r="3" spans="1:5" x14ac:dyDescent="0.2">
      <c r="A3" s="216"/>
      <c r="B3" s="208"/>
      <c r="C3" s="208"/>
      <c r="D3" s="214"/>
    </row>
    <row r="4" spans="1:5" x14ac:dyDescent="0.2">
      <c r="A4" s="216"/>
      <c r="B4" s="208"/>
      <c r="C4" s="208"/>
      <c r="D4" s="214"/>
    </row>
    <row r="5" spans="1:5" x14ac:dyDescent="0.2">
      <c r="A5" s="236" t="s">
        <v>11</v>
      </c>
      <c r="B5" s="15">
        <v>70000</v>
      </c>
      <c r="C5" s="15"/>
      <c r="D5" s="45"/>
    </row>
    <row r="6" spans="1:5" x14ac:dyDescent="0.2">
      <c r="A6" s="236" t="s">
        <v>107</v>
      </c>
      <c r="B6" s="15">
        <v>50000</v>
      </c>
      <c r="C6" s="15"/>
      <c r="D6" s="45"/>
    </row>
    <row r="7" spans="1:5" x14ac:dyDescent="0.2">
      <c r="A7" s="237" t="s">
        <v>151</v>
      </c>
      <c r="B7" s="238">
        <v>10</v>
      </c>
      <c r="C7" s="239" t="s">
        <v>6</v>
      </c>
      <c r="D7" s="214"/>
    </row>
    <row r="8" spans="1:5" x14ac:dyDescent="0.2">
      <c r="A8" s="236" t="s">
        <v>150</v>
      </c>
      <c r="B8" s="240">
        <v>4</v>
      </c>
      <c r="C8" s="241" t="s">
        <v>149</v>
      </c>
      <c r="D8" s="214"/>
    </row>
    <row r="9" spans="1:5" hidden="1" x14ac:dyDescent="0.2">
      <c r="A9" s="236" t="s">
        <v>108</v>
      </c>
      <c r="B9" s="240">
        <v>1</v>
      </c>
      <c r="C9" s="242" t="s">
        <v>43</v>
      </c>
      <c r="D9" s="214"/>
    </row>
    <row r="10" spans="1:5" hidden="1" x14ac:dyDescent="0.2">
      <c r="A10" s="236" t="s">
        <v>44</v>
      </c>
      <c r="B10" s="240">
        <v>1</v>
      </c>
      <c r="C10" s="242" t="s">
        <v>43</v>
      </c>
      <c r="D10" s="214"/>
    </row>
    <row r="11" spans="1:5" x14ac:dyDescent="0.2">
      <c r="A11" s="216"/>
      <c r="B11" s="38"/>
      <c r="C11" s="38"/>
      <c r="D11" s="215"/>
    </row>
    <row r="12" spans="1:5" x14ac:dyDescent="0.2">
      <c r="A12" s="217"/>
      <c r="B12" s="218"/>
      <c r="C12" s="218"/>
      <c r="D12" s="219"/>
    </row>
    <row r="14" spans="1:5" x14ac:dyDescent="0.2">
      <c r="A14" s="210"/>
      <c r="B14" s="211"/>
      <c r="C14" s="220"/>
      <c r="D14" s="221"/>
    </row>
    <row r="15" spans="1:5" x14ac:dyDescent="0.2">
      <c r="A15" s="216"/>
      <c r="B15" s="222" t="s">
        <v>13</v>
      </c>
      <c r="C15" s="208"/>
      <c r="D15" s="214"/>
    </row>
    <row r="16" spans="1:5" x14ac:dyDescent="0.2">
      <c r="A16" s="216"/>
      <c r="B16" s="223" t="s">
        <v>10</v>
      </c>
      <c r="C16" s="224">
        <v>35</v>
      </c>
      <c r="D16" s="225"/>
      <c r="E16" s="213" t="s">
        <v>152</v>
      </c>
    </row>
    <row r="17" spans="1:4" x14ac:dyDescent="0.2">
      <c r="A17" s="216"/>
      <c r="B17" s="208" t="s">
        <v>109</v>
      </c>
      <c r="C17" s="15">
        <f>DEVICE_COST_HIGH_V*-1</f>
        <v>-50000</v>
      </c>
      <c r="D17" s="45"/>
    </row>
    <row r="18" spans="1:4" x14ac:dyDescent="0.2">
      <c r="A18" s="216"/>
      <c r="B18" s="208" t="s">
        <v>110</v>
      </c>
      <c r="C18" s="209">
        <v>0.15</v>
      </c>
      <c r="D18" s="45"/>
    </row>
    <row r="19" spans="1:4" x14ac:dyDescent="0.2">
      <c r="A19" s="216"/>
      <c r="B19" s="208"/>
      <c r="C19" s="15"/>
      <c r="D19" s="45"/>
    </row>
    <row r="20" spans="1:4" x14ac:dyDescent="0.2">
      <c r="A20" s="217"/>
      <c r="B20" s="226"/>
      <c r="C20" s="226"/>
      <c r="D20" s="227"/>
    </row>
    <row r="22" spans="1:4" x14ac:dyDescent="0.2">
      <c r="A22" s="272" t="s">
        <v>129</v>
      </c>
      <c r="B22" s="273"/>
      <c r="C22" s="273"/>
      <c r="D22" s="273"/>
    </row>
    <row r="23" spans="1:4" x14ac:dyDescent="0.2">
      <c r="A23" s="210"/>
      <c r="B23" s="211"/>
      <c r="C23" s="211"/>
      <c r="D23" s="211"/>
    </row>
    <row r="24" spans="1:4" x14ac:dyDescent="0.2">
      <c r="A24" s="228" t="s">
        <v>5</v>
      </c>
      <c r="B24" s="211"/>
      <c r="C24" s="212"/>
      <c r="D24" s="208"/>
    </row>
    <row r="25" spans="1:4" x14ac:dyDescent="0.2">
      <c r="A25" s="216"/>
      <c r="B25" s="208" t="s">
        <v>0</v>
      </c>
      <c r="C25" s="49">
        <v>1800</v>
      </c>
      <c r="D25" s="13"/>
    </row>
    <row r="26" spans="1:4" x14ac:dyDescent="0.2">
      <c r="A26" s="216"/>
      <c r="B26" s="208" t="s">
        <v>8</v>
      </c>
      <c r="C26" s="49">
        <v>120000000</v>
      </c>
      <c r="D26" s="13"/>
    </row>
    <row r="27" spans="1:4" x14ac:dyDescent="0.2">
      <c r="A27" s="216"/>
      <c r="B27" s="208" t="s">
        <v>12</v>
      </c>
      <c r="C27" s="229">
        <v>0.7</v>
      </c>
      <c r="D27" s="209"/>
    </row>
    <row r="28" spans="1:4" x14ac:dyDescent="0.2">
      <c r="A28" s="216"/>
      <c r="B28" s="208" t="s">
        <v>3</v>
      </c>
      <c r="C28" s="230">
        <f>C26*C27</f>
        <v>84000000</v>
      </c>
      <c r="D28" s="231"/>
    </row>
    <row r="29" spans="1:4" x14ac:dyDescent="0.2">
      <c r="A29" s="216"/>
      <c r="B29" s="208" t="s">
        <v>9</v>
      </c>
      <c r="C29" s="230">
        <v>6000</v>
      </c>
      <c r="D29" s="231"/>
    </row>
    <row r="30" spans="1:4" x14ac:dyDescent="0.2">
      <c r="A30" s="217"/>
      <c r="B30" s="226"/>
      <c r="C30" s="227"/>
      <c r="D30" s="208"/>
    </row>
    <row r="31" spans="1:4" x14ac:dyDescent="0.2">
      <c r="A31" s="216"/>
      <c r="B31" s="208"/>
      <c r="C31" s="208"/>
      <c r="D31" s="208"/>
    </row>
    <row r="32" spans="1:4" x14ac:dyDescent="0.2">
      <c r="A32" s="231"/>
      <c r="B32" s="231"/>
      <c r="C32" s="231"/>
      <c r="D32" s="231"/>
    </row>
    <row r="33" spans="1:4" x14ac:dyDescent="0.2">
      <c r="A33" s="232" t="s">
        <v>1</v>
      </c>
      <c r="B33" s="211"/>
      <c r="C33" s="212"/>
      <c r="D33" s="208"/>
    </row>
    <row r="34" spans="1:4" x14ac:dyDescent="0.2">
      <c r="A34" s="216"/>
      <c r="B34" s="208" t="s">
        <v>7</v>
      </c>
      <c r="C34" s="49">
        <v>6000</v>
      </c>
      <c r="D34" s="208" t="s">
        <v>14</v>
      </c>
    </row>
    <row r="35" spans="1:4" x14ac:dyDescent="0.2">
      <c r="A35" s="216"/>
      <c r="B35" s="208" t="s">
        <v>135</v>
      </c>
      <c r="C35" s="49">
        <f>ROUND(55000*365,-6)</f>
        <v>20000000</v>
      </c>
      <c r="D35" s="13" t="s">
        <v>23</v>
      </c>
    </row>
    <row r="36" spans="1:4" x14ac:dyDescent="0.2">
      <c r="A36" s="216"/>
      <c r="B36" s="208" t="s">
        <v>24</v>
      </c>
      <c r="C36" s="229">
        <v>1</v>
      </c>
      <c r="D36" s="208" t="s">
        <v>136</v>
      </c>
    </row>
    <row r="37" spans="1:4" x14ac:dyDescent="0.2">
      <c r="A37" s="216"/>
      <c r="B37" s="208" t="s">
        <v>25</v>
      </c>
      <c r="C37" s="230">
        <v>1</v>
      </c>
      <c r="D37" s="208"/>
    </row>
    <row r="38" spans="1:4" x14ac:dyDescent="0.2">
      <c r="A38" s="216"/>
      <c r="B38" s="208" t="s">
        <v>2</v>
      </c>
      <c r="C38" s="230">
        <f>C35*C36*C37</f>
        <v>20000000</v>
      </c>
      <c r="D38" s="208"/>
    </row>
    <row r="39" spans="1:4" x14ac:dyDescent="0.2">
      <c r="A39" s="217"/>
      <c r="B39" s="226"/>
      <c r="C39" s="227"/>
      <c r="D39" s="233"/>
    </row>
    <row r="40" spans="1:4" x14ac:dyDescent="0.2">
      <c r="D40" s="233"/>
    </row>
    <row r="41" spans="1:4" x14ac:dyDescent="0.2">
      <c r="D41" s="234"/>
    </row>
    <row r="42" spans="1:4" hidden="1" x14ac:dyDescent="0.2">
      <c r="B42" s="213" t="s">
        <v>42</v>
      </c>
      <c r="C42" s="213">
        <v>4</v>
      </c>
      <c r="D42" s="235"/>
    </row>
    <row r="43" spans="1:4" x14ac:dyDescent="0.2">
      <c r="A43" s="216"/>
      <c r="B43" s="208" t="s">
        <v>111</v>
      </c>
      <c r="C43" s="243">
        <v>100</v>
      </c>
      <c r="D43" s="208"/>
    </row>
  </sheetData>
  <mergeCells count="1">
    <mergeCell ref="A22:D22"/>
  </mergeCells>
  <phoneticPr fontId="10" type="noConversion"/>
  <pageMargins left="0.75" right="0.75" top="1" bottom="1" header="0.5" footer="0.5"/>
  <pageSetup orientation="portrait"/>
  <headerFooter alignWithMargins="0">
    <oddHeader>&amp;L&amp;"arial unicode ms,Regular"&amp;8 Theranos Confidential</oddHeader>
    <oddFooter>&amp;L&amp;"arial unicode ms,Regular"&amp;8 Theranos Confidential</oddFooter>
    <evenHeader>&amp;L&amp;"arial unicode ms,Regular"&amp;8 Theranos Confidential</evenHeader>
    <evenFooter>&amp;L&amp;"arial unicode ms,Regular"&amp;8 Theranos Confidential</evenFooter>
    <firstHeader>&amp;L&amp;"arial unicode ms,Regular"&amp;8 Theranos Confidential</firstHeader>
    <firstFooter>&amp;L&amp;"arial unicode ms,Regular"&amp;8 Theranos Confidential</first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61"/>
  <sheetViews>
    <sheetView zoomScale="130" zoomScaleNormal="130" workbookViewId="0">
      <pane xSplit="3" ySplit="1" topLeftCell="X2" activePane="bottomRight" state="frozen"/>
      <selection pane="topRight" activeCell="C1" sqref="C1"/>
      <selection pane="bottomLeft" activeCell="A2" sqref="A2"/>
      <selection pane="bottomRight" activeCell="Z25" sqref="Z25"/>
    </sheetView>
  </sheetViews>
  <sheetFormatPr defaultColWidth="10.75" defaultRowHeight="12.75" outlineLevelCol="1" x14ac:dyDescent="0.2"/>
  <cols>
    <col min="1" max="1" width="2.625" style="3" customWidth="1"/>
    <col min="2" max="2" width="21.75" style="3" bestFit="1" customWidth="1"/>
    <col min="3" max="3" width="38.75" style="3" bestFit="1" customWidth="1"/>
    <col min="4" max="4" width="13.375" style="3" hidden="1" customWidth="1"/>
    <col min="5" max="7" width="15.75" style="3" hidden="1" customWidth="1"/>
    <col min="8" max="8" width="15.75" style="39" hidden="1" customWidth="1"/>
    <col min="9" max="9" width="20" style="3" customWidth="1" outlineLevel="1"/>
    <col min="10" max="10" width="18.625" style="3" customWidth="1" outlineLevel="1"/>
    <col min="11" max="12" width="15.75" style="3" customWidth="1" outlineLevel="1"/>
    <col min="13" max="13" width="15.625" style="3" customWidth="1" outlineLevel="1"/>
    <col min="14" max="14" width="15.375" style="3" customWidth="1" outlineLevel="1"/>
    <col min="15" max="19" width="16.5" style="3" customWidth="1" outlineLevel="1"/>
    <col min="20" max="20" width="16.5" style="16" customWidth="1" outlineLevel="1"/>
    <col min="21" max="31" width="16.375" style="16" customWidth="1" outlineLevel="1"/>
    <col min="32" max="32" width="16.375" style="39" customWidth="1" outlineLevel="1"/>
    <col min="33" max="33" width="17.75" style="54" bestFit="1" customWidth="1"/>
    <col min="34" max="34" width="19.375" style="51" bestFit="1" customWidth="1"/>
    <col min="35" max="35" width="14.75" style="3" hidden="1" customWidth="1"/>
    <col min="36" max="36" width="11.75" style="3" hidden="1" customWidth="1"/>
    <col min="37" max="16384" width="10.75" style="3"/>
  </cols>
  <sheetData>
    <row r="1" spans="1:36" s="19" customFormat="1" x14ac:dyDescent="0.2">
      <c r="B1" s="14"/>
      <c r="C1" s="14"/>
      <c r="D1" s="20">
        <v>38929</v>
      </c>
      <c r="E1" s="20">
        <v>38960</v>
      </c>
      <c r="F1" s="20">
        <v>38990</v>
      </c>
      <c r="G1" s="20">
        <v>39021</v>
      </c>
      <c r="H1" s="21">
        <v>39051</v>
      </c>
      <c r="I1" s="20">
        <v>40178</v>
      </c>
      <c r="J1" s="20">
        <v>40209</v>
      </c>
      <c r="K1" s="20">
        <v>40237</v>
      </c>
      <c r="L1" s="20">
        <v>40268</v>
      </c>
      <c r="M1" s="20">
        <v>40298</v>
      </c>
      <c r="N1" s="20">
        <v>40329</v>
      </c>
      <c r="O1" s="20">
        <v>40359</v>
      </c>
      <c r="P1" s="20">
        <v>40390</v>
      </c>
      <c r="Q1" s="20">
        <v>40421</v>
      </c>
      <c r="R1" s="20">
        <v>40451</v>
      </c>
      <c r="S1" s="20">
        <v>40482</v>
      </c>
      <c r="T1" s="20">
        <v>40512</v>
      </c>
      <c r="U1" s="20">
        <v>40543</v>
      </c>
      <c r="V1" s="20">
        <v>40574</v>
      </c>
      <c r="W1" s="20">
        <v>40602</v>
      </c>
      <c r="X1" s="20">
        <v>40633</v>
      </c>
      <c r="Y1" s="20">
        <v>40663</v>
      </c>
      <c r="Z1" s="20">
        <v>40694</v>
      </c>
      <c r="AA1" s="20">
        <v>40724</v>
      </c>
      <c r="AB1" s="20">
        <v>40755</v>
      </c>
      <c r="AC1" s="20">
        <v>40786</v>
      </c>
      <c r="AD1" s="20">
        <v>40816</v>
      </c>
      <c r="AE1" s="20">
        <v>40847</v>
      </c>
      <c r="AF1" s="21">
        <v>40877</v>
      </c>
      <c r="AG1" s="1">
        <v>2014</v>
      </c>
      <c r="AH1" s="46">
        <v>2015</v>
      </c>
      <c r="AI1" s="19">
        <v>2013</v>
      </c>
      <c r="AJ1" s="19">
        <v>2014</v>
      </c>
    </row>
    <row r="2" spans="1:36" s="19" customFormat="1" ht="12.75" customHeight="1" x14ac:dyDescent="0.2">
      <c r="A2" s="285" t="s">
        <v>15</v>
      </c>
      <c r="B2" s="18"/>
      <c r="C2" s="14"/>
      <c r="D2" s="20"/>
      <c r="E2" s="20"/>
      <c r="F2" s="20"/>
      <c r="G2" s="20"/>
      <c r="H2" s="21"/>
      <c r="I2" s="20"/>
      <c r="J2" s="20"/>
      <c r="K2" s="20"/>
      <c r="L2" s="20"/>
      <c r="M2" s="20"/>
      <c r="N2" s="20"/>
      <c r="O2" s="20"/>
      <c r="P2" s="20"/>
      <c r="Q2" s="20"/>
      <c r="R2" s="20"/>
      <c r="S2" s="20"/>
      <c r="T2" s="22"/>
      <c r="U2" s="22"/>
      <c r="V2" s="22"/>
      <c r="W2" s="22"/>
      <c r="X2" s="22"/>
      <c r="Y2" s="22"/>
      <c r="Z2" s="22"/>
      <c r="AA2" s="22"/>
      <c r="AB2" s="22"/>
      <c r="AC2" s="22"/>
      <c r="AD2" s="22"/>
      <c r="AE2" s="22"/>
      <c r="AF2" s="21"/>
      <c r="AG2" s="53"/>
      <c r="AH2" s="46"/>
    </row>
    <row r="3" spans="1:36" s="19" customFormat="1" x14ac:dyDescent="0.2">
      <c r="A3" s="285"/>
      <c r="B3" s="278" t="s">
        <v>4</v>
      </c>
      <c r="C3" s="55" t="s">
        <v>32</v>
      </c>
      <c r="D3" s="10">
        <v>0</v>
      </c>
      <c r="E3" s="10">
        <v>0</v>
      </c>
      <c r="F3" s="41">
        <v>0</v>
      </c>
      <c r="G3" s="10">
        <v>0</v>
      </c>
      <c r="H3" s="12">
        <v>0</v>
      </c>
      <c r="I3" s="10">
        <v>11</v>
      </c>
      <c r="J3" s="10">
        <v>21</v>
      </c>
      <c r="K3" s="10">
        <v>21</v>
      </c>
      <c r="L3" s="10">
        <v>40</v>
      </c>
      <c r="M3" s="10">
        <v>40</v>
      </c>
      <c r="N3" s="10">
        <v>100</v>
      </c>
      <c r="O3" s="10">
        <f>N3</f>
        <v>100</v>
      </c>
      <c r="P3" s="10">
        <f>O3+100</f>
        <v>200</v>
      </c>
      <c r="Q3" s="10">
        <f>P3+200</f>
        <v>400</v>
      </c>
      <c r="R3" s="10">
        <f>Q3+200</f>
        <v>600</v>
      </c>
      <c r="S3" s="10">
        <f>R3+200</f>
        <v>800</v>
      </c>
      <c r="T3" s="10">
        <f>S3+200</f>
        <v>1000</v>
      </c>
      <c r="U3" s="10">
        <f t="shared" ref="U3:AC3" si="0">T3+100</f>
        <v>1100</v>
      </c>
      <c r="V3" s="10">
        <f t="shared" si="0"/>
        <v>1200</v>
      </c>
      <c r="W3" s="10">
        <f t="shared" si="0"/>
        <v>1300</v>
      </c>
      <c r="X3" s="10">
        <f t="shared" si="0"/>
        <v>1400</v>
      </c>
      <c r="Y3" s="10">
        <f t="shared" si="0"/>
        <v>1500</v>
      </c>
      <c r="Z3" s="10">
        <f t="shared" si="0"/>
        <v>1600</v>
      </c>
      <c r="AA3" s="10">
        <f t="shared" si="0"/>
        <v>1700</v>
      </c>
      <c r="AB3" s="10">
        <f>AA3+300</f>
        <v>2000</v>
      </c>
      <c r="AC3" s="10">
        <f t="shared" si="0"/>
        <v>2100</v>
      </c>
      <c r="AD3" s="10">
        <f>AC3+300</f>
        <v>2400</v>
      </c>
      <c r="AE3" s="10">
        <f>AD3</f>
        <v>2400</v>
      </c>
      <c r="AF3" s="12">
        <f>AE3</f>
        <v>2400</v>
      </c>
      <c r="AG3" s="7">
        <f>T3</f>
        <v>1000</v>
      </c>
      <c r="AH3" s="47">
        <f>AF3</f>
        <v>2400</v>
      </c>
    </row>
    <row r="4" spans="1:36" s="59" customFormat="1" ht="12.75" hidden="1" customHeight="1" x14ac:dyDescent="0.2">
      <c r="A4" s="285"/>
      <c r="B4" s="278"/>
      <c r="C4" s="55" t="s">
        <v>20</v>
      </c>
      <c r="D4" s="10"/>
      <c r="E4" s="10"/>
      <c r="F4" s="41"/>
      <c r="G4" s="10"/>
      <c r="H4" s="12"/>
      <c r="I4" s="10">
        <v>0</v>
      </c>
      <c r="J4" s="10">
        <v>0</v>
      </c>
      <c r="K4" s="10">
        <v>0</v>
      </c>
      <c r="L4" s="10">
        <v>0</v>
      </c>
      <c r="M4" s="10">
        <v>0</v>
      </c>
      <c r="N4" s="10"/>
      <c r="O4" s="10">
        <v>0</v>
      </c>
      <c r="P4" s="10">
        <v>0</v>
      </c>
      <c r="Q4" s="10">
        <v>0</v>
      </c>
      <c r="R4" s="10">
        <v>0</v>
      </c>
      <c r="S4" s="10">
        <v>0</v>
      </c>
      <c r="T4" s="10">
        <v>0</v>
      </c>
      <c r="U4" s="10">
        <v>0</v>
      </c>
      <c r="V4" s="10">
        <v>0</v>
      </c>
      <c r="W4" s="10">
        <v>0</v>
      </c>
      <c r="X4" s="10">
        <v>0</v>
      </c>
      <c r="Y4" s="10">
        <v>0</v>
      </c>
      <c r="Z4" s="10">
        <v>0</v>
      </c>
      <c r="AA4" s="10">
        <v>0</v>
      </c>
      <c r="AB4" s="10">
        <v>0</v>
      </c>
      <c r="AC4" s="10">
        <v>0</v>
      </c>
      <c r="AD4" s="10">
        <v>0</v>
      </c>
      <c r="AE4" s="10">
        <v>0</v>
      </c>
      <c r="AF4" s="12">
        <v>0</v>
      </c>
      <c r="AG4" s="7">
        <f>T4</f>
        <v>0</v>
      </c>
      <c r="AH4" s="47">
        <f>AF4</f>
        <v>0</v>
      </c>
    </row>
    <row r="5" spans="1:36" s="19" customFormat="1" x14ac:dyDescent="0.2">
      <c r="A5" s="285"/>
      <c r="B5" s="278"/>
      <c r="C5" s="55" t="s">
        <v>19</v>
      </c>
      <c r="D5" s="10">
        <v>0</v>
      </c>
      <c r="E5" s="10">
        <v>0</v>
      </c>
      <c r="F5" s="41">
        <v>0</v>
      </c>
      <c r="G5" s="10">
        <v>0</v>
      </c>
      <c r="H5" s="12">
        <v>0</v>
      </c>
      <c r="I5" s="10">
        <v>0</v>
      </c>
      <c r="J5" s="10">
        <v>0</v>
      </c>
      <c r="K5" s="10">
        <f>J5</f>
        <v>0</v>
      </c>
      <c r="L5" s="10"/>
      <c r="M5" s="10">
        <v>10</v>
      </c>
      <c r="N5" s="10">
        <f>M5</f>
        <v>10</v>
      </c>
      <c r="O5" s="10">
        <v>90</v>
      </c>
      <c r="P5" s="10">
        <f>O5</f>
        <v>90</v>
      </c>
      <c r="Q5" s="10">
        <f>P5</f>
        <v>90</v>
      </c>
      <c r="R5" s="10">
        <v>200</v>
      </c>
      <c r="S5" s="10">
        <f>R5</f>
        <v>200</v>
      </c>
      <c r="T5" s="10">
        <f>S5</f>
        <v>200</v>
      </c>
      <c r="U5" s="10">
        <v>300</v>
      </c>
      <c r="V5" s="10">
        <f t="shared" ref="V5:Y5" si="1">MIN(S3,U5+100)</f>
        <v>400</v>
      </c>
      <c r="W5" s="10">
        <f t="shared" si="1"/>
        <v>500</v>
      </c>
      <c r="X5" s="10">
        <f t="shared" si="1"/>
        <v>600</v>
      </c>
      <c r="Y5" s="10">
        <f t="shared" si="1"/>
        <v>700</v>
      </c>
      <c r="Z5" s="10">
        <f t="shared" ref="Z5:AF5" si="2">Y5</f>
        <v>700</v>
      </c>
      <c r="AA5" s="10">
        <f t="shared" si="2"/>
        <v>700</v>
      </c>
      <c r="AB5" s="10">
        <f t="shared" si="2"/>
        <v>700</v>
      </c>
      <c r="AC5" s="10">
        <f t="shared" si="2"/>
        <v>700</v>
      </c>
      <c r="AD5" s="10">
        <f t="shared" si="2"/>
        <v>700</v>
      </c>
      <c r="AE5" s="10">
        <f t="shared" si="2"/>
        <v>700</v>
      </c>
      <c r="AF5" s="12">
        <f t="shared" si="2"/>
        <v>700</v>
      </c>
      <c r="AG5" s="7">
        <f>T5</f>
        <v>200</v>
      </c>
      <c r="AH5" s="47">
        <f>AF5</f>
        <v>700</v>
      </c>
    </row>
    <row r="6" spans="1:36" s="25" customFormat="1" x14ac:dyDescent="0.2">
      <c r="A6" s="285"/>
      <c r="B6" s="279"/>
      <c r="C6" s="76" t="s">
        <v>35</v>
      </c>
      <c r="D6" s="23">
        <f t="shared" ref="D6:AH6" si="3">SUM(D3:D5)</f>
        <v>0</v>
      </c>
      <c r="E6" s="23">
        <f t="shared" si="3"/>
        <v>0</v>
      </c>
      <c r="F6" s="42">
        <f t="shared" si="3"/>
        <v>0</v>
      </c>
      <c r="G6" s="23">
        <f t="shared" si="3"/>
        <v>0</v>
      </c>
      <c r="H6" s="24">
        <f t="shared" si="3"/>
        <v>0</v>
      </c>
      <c r="I6" s="23">
        <f t="shared" si="3"/>
        <v>11</v>
      </c>
      <c r="J6" s="23">
        <f t="shared" si="3"/>
        <v>21</v>
      </c>
      <c r="K6" s="23">
        <f t="shared" si="3"/>
        <v>21</v>
      </c>
      <c r="L6" s="23">
        <f t="shared" si="3"/>
        <v>40</v>
      </c>
      <c r="M6" s="23">
        <f t="shared" si="3"/>
        <v>50</v>
      </c>
      <c r="N6" s="23">
        <f t="shared" si="3"/>
        <v>110</v>
      </c>
      <c r="O6" s="23">
        <f t="shared" si="3"/>
        <v>190</v>
      </c>
      <c r="P6" s="23">
        <f t="shared" si="3"/>
        <v>290</v>
      </c>
      <c r="Q6" s="23">
        <f t="shared" si="3"/>
        <v>490</v>
      </c>
      <c r="R6" s="23">
        <f t="shared" si="3"/>
        <v>800</v>
      </c>
      <c r="S6" s="23">
        <f t="shared" si="3"/>
        <v>1000</v>
      </c>
      <c r="T6" s="23">
        <f t="shared" si="3"/>
        <v>1200</v>
      </c>
      <c r="U6" s="23">
        <f t="shared" si="3"/>
        <v>1400</v>
      </c>
      <c r="V6" s="23">
        <f t="shared" si="3"/>
        <v>1600</v>
      </c>
      <c r="W6" s="23">
        <f t="shared" si="3"/>
        <v>1800</v>
      </c>
      <c r="X6" s="23">
        <f t="shared" si="3"/>
        <v>2000</v>
      </c>
      <c r="Y6" s="23">
        <f t="shared" si="3"/>
        <v>2200</v>
      </c>
      <c r="Z6" s="23">
        <f t="shared" si="3"/>
        <v>2300</v>
      </c>
      <c r="AA6" s="23">
        <f t="shared" si="3"/>
        <v>2400</v>
      </c>
      <c r="AB6" s="23">
        <f t="shared" si="3"/>
        <v>2700</v>
      </c>
      <c r="AC6" s="23">
        <f t="shared" si="3"/>
        <v>2800</v>
      </c>
      <c r="AD6" s="23">
        <f t="shared" si="3"/>
        <v>3100</v>
      </c>
      <c r="AE6" s="23">
        <f t="shared" si="3"/>
        <v>3100</v>
      </c>
      <c r="AF6" s="24">
        <f t="shared" si="3"/>
        <v>3100</v>
      </c>
      <c r="AG6" s="23">
        <f t="shared" si="3"/>
        <v>1200</v>
      </c>
      <c r="AH6" s="24">
        <f t="shared" si="3"/>
        <v>3100</v>
      </c>
    </row>
    <row r="7" spans="1:36" s="19" customFormat="1" x14ac:dyDescent="0.2">
      <c r="A7" s="285"/>
      <c r="B7" s="280" t="s">
        <v>16</v>
      </c>
      <c r="C7" s="67" t="str">
        <f>C3</f>
        <v>Walgreens</v>
      </c>
      <c r="D7" s="68">
        <v>0</v>
      </c>
      <c r="E7" s="68">
        <v>0</v>
      </c>
      <c r="F7" s="67">
        <v>0</v>
      </c>
      <c r="G7" s="68">
        <v>0</v>
      </c>
      <c r="H7" s="69">
        <v>0</v>
      </c>
      <c r="I7" s="68">
        <v>10</v>
      </c>
      <c r="J7" s="68">
        <v>20</v>
      </c>
      <c r="K7" s="68">
        <v>20</v>
      </c>
      <c r="L7" s="68">
        <v>20</v>
      </c>
      <c r="M7" s="68">
        <v>25</v>
      </c>
      <c r="N7" s="68">
        <f>M7</f>
        <v>25</v>
      </c>
      <c r="O7" s="68">
        <f t="shared" ref="O7:T9" si="4">N7</f>
        <v>25</v>
      </c>
      <c r="P7" s="68">
        <f t="shared" si="4"/>
        <v>25</v>
      </c>
      <c r="Q7" s="68">
        <v>25</v>
      </c>
      <c r="R7" s="68">
        <f t="shared" si="4"/>
        <v>25</v>
      </c>
      <c r="S7" s="68">
        <f t="shared" si="4"/>
        <v>25</v>
      </c>
      <c r="T7" s="68">
        <f t="shared" si="4"/>
        <v>25</v>
      </c>
      <c r="U7" s="68">
        <f t="shared" ref="U7:AF7" si="5">T7</f>
        <v>25</v>
      </c>
      <c r="V7" s="68">
        <f t="shared" si="5"/>
        <v>25</v>
      </c>
      <c r="W7" s="68">
        <f t="shared" si="5"/>
        <v>25</v>
      </c>
      <c r="X7" s="68">
        <f t="shared" si="5"/>
        <v>25</v>
      </c>
      <c r="Y7" s="68">
        <f t="shared" si="5"/>
        <v>25</v>
      </c>
      <c r="Z7" s="68">
        <f t="shared" si="5"/>
        <v>25</v>
      </c>
      <c r="AA7" s="68">
        <f t="shared" si="5"/>
        <v>25</v>
      </c>
      <c r="AB7" s="68">
        <f t="shared" si="5"/>
        <v>25</v>
      </c>
      <c r="AC7" s="68">
        <f t="shared" si="5"/>
        <v>25</v>
      </c>
      <c r="AD7" s="68">
        <f t="shared" si="5"/>
        <v>25</v>
      </c>
      <c r="AE7" s="68">
        <f t="shared" si="5"/>
        <v>25</v>
      </c>
      <c r="AF7" s="69">
        <f t="shared" si="5"/>
        <v>25</v>
      </c>
      <c r="AG7" s="68">
        <v>0</v>
      </c>
      <c r="AH7" s="70">
        <v>0</v>
      </c>
    </row>
    <row r="8" spans="1:36" s="59" customFormat="1" ht="12.75" hidden="1" customHeight="1" x14ac:dyDescent="0.2">
      <c r="A8" s="285"/>
      <c r="B8" s="281"/>
      <c r="C8" s="11" t="str">
        <f>C4</f>
        <v>Theranos Locations</v>
      </c>
      <c r="D8" s="7">
        <v>0</v>
      </c>
      <c r="E8" s="7">
        <v>0</v>
      </c>
      <c r="F8" s="11">
        <v>0</v>
      </c>
      <c r="G8" s="7">
        <v>0</v>
      </c>
      <c r="H8" s="12">
        <v>0</v>
      </c>
      <c r="I8" s="71">
        <v>0</v>
      </c>
      <c r="J8" s="71">
        <v>0</v>
      </c>
      <c r="K8" s="71">
        <v>0</v>
      </c>
      <c r="L8" s="71">
        <v>0</v>
      </c>
      <c r="M8" s="71">
        <v>0</v>
      </c>
      <c r="N8" s="71">
        <v>0</v>
      </c>
      <c r="O8" s="71">
        <v>0</v>
      </c>
      <c r="P8" s="71">
        <v>0</v>
      </c>
      <c r="Q8" s="71">
        <v>50</v>
      </c>
      <c r="R8" s="71">
        <f>Q8</f>
        <v>50</v>
      </c>
      <c r="S8" s="71">
        <f t="shared" si="4"/>
        <v>50</v>
      </c>
      <c r="T8" s="71">
        <f t="shared" si="4"/>
        <v>50</v>
      </c>
      <c r="U8" s="71">
        <f t="shared" ref="U8:AF9" si="6">T8</f>
        <v>50</v>
      </c>
      <c r="V8" s="71">
        <f t="shared" si="6"/>
        <v>50</v>
      </c>
      <c r="W8" s="71">
        <f t="shared" si="6"/>
        <v>50</v>
      </c>
      <c r="X8" s="71">
        <f t="shared" si="6"/>
        <v>50</v>
      </c>
      <c r="Y8" s="71">
        <f t="shared" si="6"/>
        <v>50</v>
      </c>
      <c r="Z8" s="71">
        <f t="shared" si="6"/>
        <v>50</v>
      </c>
      <c r="AA8" s="71">
        <f t="shared" si="6"/>
        <v>50</v>
      </c>
      <c r="AB8" s="71">
        <f t="shared" si="6"/>
        <v>50</v>
      </c>
      <c r="AC8" s="71">
        <f t="shared" si="6"/>
        <v>50</v>
      </c>
      <c r="AD8" s="71">
        <f t="shared" si="6"/>
        <v>50</v>
      </c>
      <c r="AE8" s="71">
        <f t="shared" si="6"/>
        <v>50</v>
      </c>
      <c r="AF8" s="72">
        <f t="shared" si="6"/>
        <v>50</v>
      </c>
      <c r="AG8" s="7">
        <v>0</v>
      </c>
      <c r="AH8" s="47">
        <v>0</v>
      </c>
    </row>
    <row r="9" spans="1:36" s="25" customFormat="1" x14ac:dyDescent="0.2">
      <c r="A9" s="285"/>
      <c r="B9" s="282"/>
      <c r="C9" s="56" t="str">
        <f>C5</f>
        <v>Other Retail Pharmacies</v>
      </c>
      <c r="D9" s="4">
        <v>0</v>
      </c>
      <c r="E9" s="4">
        <v>0</v>
      </c>
      <c r="F9" s="5">
        <v>0</v>
      </c>
      <c r="G9" s="4">
        <v>0</v>
      </c>
      <c r="H9" s="6">
        <v>0</v>
      </c>
      <c r="I9" s="4"/>
      <c r="J9" s="4">
        <f>J7</f>
        <v>20</v>
      </c>
      <c r="K9" s="4">
        <f>K7</f>
        <v>20</v>
      </c>
      <c r="L9" s="4">
        <f>L7</f>
        <v>20</v>
      </c>
      <c r="M9" s="4">
        <f>L9</f>
        <v>20</v>
      </c>
      <c r="N9" s="4">
        <f t="shared" ref="N9:Q9" si="7">M9</f>
        <v>20</v>
      </c>
      <c r="O9" s="4">
        <f t="shared" si="7"/>
        <v>20</v>
      </c>
      <c r="P9" s="4">
        <f t="shared" si="7"/>
        <v>20</v>
      </c>
      <c r="Q9" s="4">
        <f t="shared" si="7"/>
        <v>20</v>
      </c>
      <c r="R9" s="4">
        <v>25</v>
      </c>
      <c r="S9" s="4">
        <f t="shared" si="4"/>
        <v>25</v>
      </c>
      <c r="T9" s="4">
        <f t="shared" si="4"/>
        <v>25</v>
      </c>
      <c r="U9" s="4">
        <f t="shared" si="6"/>
        <v>25</v>
      </c>
      <c r="V9" s="4">
        <f t="shared" si="6"/>
        <v>25</v>
      </c>
      <c r="W9" s="4">
        <f t="shared" si="6"/>
        <v>25</v>
      </c>
      <c r="X9" s="4">
        <f t="shared" si="6"/>
        <v>25</v>
      </c>
      <c r="Y9" s="4">
        <f t="shared" si="6"/>
        <v>25</v>
      </c>
      <c r="Z9" s="4">
        <f t="shared" si="6"/>
        <v>25</v>
      </c>
      <c r="AA9" s="4">
        <f t="shared" si="6"/>
        <v>25</v>
      </c>
      <c r="AB9" s="4">
        <f t="shared" si="6"/>
        <v>25</v>
      </c>
      <c r="AC9" s="4">
        <f t="shared" si="6"/>
        <v>25</v>
      </c>
      <c r="AD9" s="4">
        <f t="shared" si="6"/>
        <v>25</v>
      </c>
      <c r="AE9" s="4">
        <f t="shared" si="6"/>
        <v>25</v>
      </c>
      <c r="AF9" s="6">
        <f t="shared" si="6"/>
        <v>25</v>
      </c>
      <c r="AG9" s="4">
        <v>0</v>
      </c>
      <c r="AH9" s="48">
        <v>0</v>
      </c>
    </row>
    <row r="10" spans="1:36" s="26" customFormat="1" ht="12.95" customHeight="1" x14ac:dyDescent="0.2">
      <c r="A10" s="285"/>
      <c r="B10" s="283" t="s">
        <v>17</v>
      </c>
      <c r="C10" s="41" t="str">
        <f>C3</f>
        <v>Walgreens</v>
      </c>
      <c r="D10" s="26">
        <v>0</v>
      </c>
      <c r="E10" s="26">
        <v>0</v>
      </c>
      <c r="F10" s="43">
        <v>0</v>
      </c>
      <c r="G10" s="26">
        <v>0</v>
      </c>
      <c r="H10" s="27"/>
      <c r="I10" s="26">
        <f t="shared" ref="I10:T12" si="8">I3*I7</f>
        <v>110</v>
      </c>
      <c r="J10" s="26">
        <f t="shared" si="8"/>
        <v>420</v>
      </c>
      <c r="K10" s="26">
        <f t="shared" si="8"/>
        <v>420</v>
      </c>
      <c r="L10" s="26">
        <f t="shared" si="8"/>
        <v>800</v>
      </c>
      <c r="M10" s="26">
        <f t="shared" si="8"/>
        <v>1000</v>
      </c>
      <c r="N10" s="26">
        <f t="shared" si="8"/>
        <v>2500</v>
      </c>
      <c r="O10" s="26">
        <f t="shared" si="8"/>
        <v>2500</v>
      </c>
      <c r="P10" s="26">
        <f t="shared" si="8"/>
        <v>5000</v>
      </c>
      <c r="Q10" s="26">
        <f t="shared" si="8"/>
        <v>10000</v>
      </c>
      <c r="R10" s="26">
        <f t="shared" si="8"/>
        <v>15000</v>
      </c>
      <c r="S10" s="26">
        <f t="shared" si="8"/>
        <v>20000</v>
      </c>
      <c r="T10" s="26">
        <f t="shared" si="8"/>
        <v>25000</v>
      </c>
      <c r="U10" s="26">
        <f t="shared" ref="U10:AF10" si="9">U3*U7</f>
        <v>27500</v>
      </c>
      <c r="V10" s="26">
        <f t="shared" si="9"/>
        <v>30000</v>
      </c>
      <c r="W10" s="26">
        <f t="shared" si="9"/>
        <v>32500</v>
      </c>
      <c r="X10" s="26">
        <f t="shared" si="9"/>
        <v>35000</v>
      </c>
      <c r="Y10" s="26">
        <f t="shared" si="9"/>
        <v>37500</v>
      </c>
      <c r="Z10" s="26">
        <f t="shared" si="9"/>
        <v>40000</v>
      </c>
      <c r="AA10" s="26">
        <f t="shared" si="9"/>
        <v>42500</v>
      </c>
      <c r="AB10" s="26">
        <f t="shared" si="9"/>
        <v>50000</v>
      </c>
      <c r="AC10" s="26">
        <f t="shared" si="9"/>
        <v>52500</v>
      </c>
      <c r="AD10" s="26">
        <f t="shared" si="9"/>
        <v>60000</v>
      </c>
      <c r="AE10" s="26">
        <f t="shared" si="9"/>
        <v>60000</v>
      </c>
      <c r="AF10" s="27">
        <f t="shared" si="9"/>
        <v>60000</v>
      </c>
      <c r="AG10" s="2"/>
      <c r="AH10" s="49"/>
      <c r="AI10" s="26" t="e">
        <f>AH10*(#REF!/#REF!)</f>
        <v>#REF!</v>
      </c>
      <c r="AJ10" s="26" t="e">
        <f>AI10*(#REF!/#REF!)</f>
        <v>#REF!</v>
      </c>
    </row>
    <row r="11" spans="1:36" s="26" customFormat="1" ht="11.1" hidden="1" customHeight="1" x14ac:dyDescent="0.2">
      <c r="A11" s="285"/>
      <c r="B11" s="283"/>
      <c r="C11" s="41" t="str">
        <f>C4</f>
        <v>Theranos Locations</v>
      </c>
      <c r="D11" s="26">
        <v>0</v>
      </c>
      <c r="E11" s="26">
        <v>0</v>
      </c>
      <c r="F11" s="43">
        <v>0</v>
      </c>
      <c r="G11" s="26">
        <v>0</v>
      </c>
      <c r="H11" s="27"/>
      <c r="I11" s="26">
        <f t="shared" si="8"/>
        <v>0</v>
      </c>
      <c r="J11" s="26">
        <f t="shared" si="8"/>
        <v>0</v>
      </c>
      <c r="K11" s="26">
        <f t="shared" si="8"/>
        <v>0</v>
      </c>
      <c r="L11" s="26">
        <f t="shared" si="8"/>
        <v>0</v>
      </c>
      <c r="M11" s="26">
        <f t="shared" si="8"/>
        <v>0</v>
      </c>
      <c r="N11" s="26">
        <f t="shared" si="8"/>
        <v>0</v>
      </c>
      <c r="O11" s="26">
        <f t="shared" si="8"/>
        <v>0</v>
      </c>
      <c r="P11" s="26">
        <f t="shared" si="8"/>
        <v>0</v>
      </c>
      <c r="Q11" s="26">
        <f t="shared" si="8"/>
        <v>0</v>
      </c>
      <c r="R11" s="26">
        <f t="shared" si="8"/>
        <v>0</v>
      </c>
      <c r="S11" s="26">
        <f t="shared" si="8"/>
        <v>0</v>
      </c>
      <c r="T11" s="26">
        <f t="shared" si="8"/>
        <v>0</v>
      </c>
      <c r="U11" s="26">
        <f t="shared" ref="U11:AF11" si="10">U4*U8</f>
        <v>0</v>
      </c>
      <c r="V11" s="26">
        <f t="shared" si="10"/>
        <v>0</v>
      </c>
      <c r="W11" s="26">
        <f t="shared" si="10"/>
        <v>0</v>
      </c>
      <c r="X11" s="26">
        <f t="shared" si="10"/>
        <v>0</v>
      </c>
      <c r="Y11" s="26">
        <f t="shared" si="10"/>
        <v>0</v>
      </c>
      <c r="Z11" s="26">
        <f t="shared" si="10"/>
        <v>0</v>
      </c>
      <c r="AA11" s="26">
        <f t="shared" si="10"/>
        <v>0</v>
      </c>
      <c r="AB11" s="26">
        <f t="shared" si="10"/>
        <v>0</v>
      </c>
      <c r="AC11" s="26">
        <f t="shared" si="10"/>
        <v>0</v>
      </c>
      <c r="AD11" s="26">
        <f t="shared" si="10"/>
        <v>0</v>
      </c>
      <c r="AE11" s="26">
        <f t="shared" si="10"/>
        <v>0</v>
      </c>
      <c r="AF11" s="27">
        <f t="shared" si="10"/>
        <v>0</v>
      </c>
      <c r="AG11" s="2">
        <f>SUM(I11:T11)</f>
        <v>0</v>
      </c>
      <c r="AH11" s="49">
        <f>SUM(U11:AF11)</f>
        <v>0</v>
      </c>
      <c r="AI11" s="26" t="e">
        <f>AH11*(#REF!/#REF!)</f>
        <v>#REF!</v>
      </c>
      <c r="AJ11" s="26" t="e">
        <f>AI11*(#REF!/#REF!)</f>
        <v>#REF!</v>
      </c>
    </row>
    <row r="12" spans="1:36" s="26" customFormat="1" ht="11.1" customHeight="1" x14ac:dyDescent="0.2">
      <c r="A12" s="285"/>
      <c r="B12" s="283"/>
      <c r="C12" s="41" t="str">
        <f>C5</f>
        <v>Other Retail Pharmacies</v>
      </c>
      <c r="D12" s="26">
        <v>0</v>
      </c>
      <c r="E12" s="26">
        <v>0</v>
      </c>
      <c r="F12" s="43">
        <v>0</v>
      </c>
      <c r="G12" s="26">
        <v>0</v>
      </c>
      <c r="H12" s="27">
        <v>0</v>
      </c>
      <c r="I12" s="26">
        <f t="shared" si="8"/>
        <v>0</v>
      </c>
      <c r="J12" s="26">
        <f t="shared" si="8"/>
        <v>0</v>
      </c>
      <c r="K12" s="26">
        <f t="shared" si="8"/>
        <v>0</v>
      </c>
      <c r="L12" s="26">
        <f t="shared" si="8"/>
        <v>0</v>
      </c>
      <c r="M12" s="26">
        <f t="shared" si="8"/>
        <v>200</v>
      </c>
      <c r="N12" s="26">
        <f t="shared" si="8"/>
        <v>200</v>
      </c>
      <c r="O12" s="26">
        <f t="shared" si="8"/>
        <v>1800</v>
      </c>
      <c r="P12" s="26">
        <f t="shared" si="8"/>
        <v>1800</v>
      </c>
      <c r="Q12" s="26">
        <f t="shared" si="8"/>
        <v>1800</v>
      </c>
      <c r="R12" s="26">
        <f t="shared" si="8"/>
        <v>5000</v>
      </c>
      <c r="S12" s="26">
        <f t="shared" si="8"/>
        <v>5000</v>
      </c>
      <c r="T12" s="26">
        <f t="shared" si="8"/>
        <v>5000</v>
      </c>
      <c r="U12" s="26">
        <f t="shared" ref="U12:AF12" si="11">U5*U9</f>
        <v>7500</v>
      </c>
      <c r="V12" s="26">
        <f t="shared" si="11"/>
        <v>10000</v>
      </c>
      <c r="W12" s="26">
        <f t="shared" si="11"/>
        <v>12500</v>
      </c>
      <c r="X12" s="26">
        <f t="shared" si="11"/>
        <v>15000</v>
      </c>
      <c r="Y12" s="26">
        <f t="shared" si="11"/>
        <v>17500</v>
      </c>
      <c r="Z12" s="26">
        <f t="shared" si="11"/>
        <v>17500</v>
      </c>
      <c r="AA12" s="26">
        <f t="shared" si="11"/>
        <v>17500</v>
      </c>
      <c r="AB12" s="26">
        <f t="shared" si="11"/>
        <v>17500</v>
      </c>
      <c r="AC12" s="26">
        <f t="shared" si="11"/>
        <v>17500</v>
      </c>
      <c r="AD12" s="26">
        <f t="shared" si="11"/>
        <v>17500</v>
      </c>
      <c r="AE12" s="26">
        <f t="shared" si="11"/>
        <v>17500</v>
      </c>
      <c r="AF12" s="27">
        <f t="shared" si="11"/>
        <v>17500</v>
      </c>
      <c r="AG12" s="2"/>
      <c r="AH12" s="49"/>
      <c r="AI12" s="26" t="e">
        <f>AH12*(#REF!/#REF!)</f>
        <v>#REF!</v>
      </c>
      <c r="AJ12" s="26" t="e">
        <f>AI12*(#REF!/#REF!)</f>
        <v>#REF!</v>
      </c>
    </row>
    <row r="13" spans="1:36" s="29" customFormat="1" ht="15.95" customHeight="1" thickBot="1" x14ac:dyDescent="0.25">
      <c r="A13" s="286"/>
      <c r="B13" s="62"/>
      <c r="C13" s="63" t="s">
        <v>29</v>
      </c>
      <c r="D13" s="64">
        <f>SUM(D10:D12)</f>
        <v>0</v>
      </c>
      <c r="E13" s="64">
        <f>SUM(E10:E12)</f>
        <v>0</v>
      </c>
      <c r="F13" s="65">
        <f>SUM(F10:F12)</f>
        <v>0</v>
      </c>
      <c r="G13" s="64">
        <f>SUM(G10:G12)</f>
        <v>0</v>
      </c>
      <c r="H13" s="66"/>
      <c r="I13" s="64">
        <f t="shared" ref="I13:T13" si="12">SUM(I10:I12)</f>
        <v>110</v>
      </c>
      <c r="J13" s="64">
        <f t="shared" si="12"/>
        <v>420</v>
      </c>
      <c r="K13" s="64">
        <f t="shared" si="12"/>
        <v>420</v>
      </c>
      <c r="L13" s="64">
        <f t="shared" si="12"/>
        <v>800</v>
      </c>
      <c r="M13" s="64">
        <f t="shared" si="12"/>
        <v>1200</v>
      </c>
      <c r="N13" s="64">
        <f t="shared" si="12"/>
        <v>2700</v>
      </c>
      <c r="O13" s="64">
        <f t="shared" si="12"/>
        <v>4300</v>
      </c>
      <c r="P13" s="64">
        <f t="shared" si="12"/>
        <v>6800</v>
      </c>
      <c r="Q13" s="64">
        <f t="shared" si="12"/>
        <v>11800</v>
      </c>
      <c r="R13" s="64">
        <f t="shared" si="12"/>
        <v>20000</v>
      </c>
      <c r="S13" s="64">
        <f t="shared" si="12"/>
        <v>25000</v>
      </c>
      <c r="T13" s="64">
        <f t="shared" si="12"/>
        <v>30000</v>
      </c>
      <c r="U13" s="64">
        <f t="shared" ref="U13:AF13" si="13">SUM(U10:U12)</f>
        <v>35000</v>
      </c>
      <c r="V13" s="64">
        <f t="shared" si="13"/>
        <v>40000</v>
      </c>
      <c r="W13" s="64">
        <f t="shared" si="13"/>
        <v>45000</v>
      </c>
      <c r="X13" s="64">
        <f t="shared" si="13"/>
        <v>50000</v>
      </c>
      <c r="Y13" s="64">
        <f t="shared" si="13"/>
        <v>55000</v>
      </c>
      <c r="Z13" s="64">
        <f t="shared" si="13"/>
        <v>57500</v>
      </c>
      <c r="AA13" s="64">
        <f t="shared" si="13"/>
        <v>60000</v>
      </c>
      <c r="AB13" s="64">
        <f t="shared" si="13"/>
        <v>67500</v>
      </c>
      <c r="AC13" s="64">
        <f t="shared" si="13"/>
        <v>70000</v>
      </c>
      <c r="AD13" s="64">
        <f t="shared" si="13"/>
        <v>77500</v>
      </c>
      <c r="AE13" s="64">
        <f t="shared" si="13"/>
        <v>77500</v>
      </c>
      <c r="AF13" s="66">
        <f t="shared" si="13"/>
        <v>77500</v>
      </c>
      <c r="AG13" s="66">
        <f>SUM(AG10:AG12)*30</f>
        <v>0</v>
      </c>
      <c r="AH13" s="66">
        <f>SUM(AH10:AH12)*30</f>
        <v>0</v>
      </c>
      <c r="AI13" s="4" t="e">
        <f>ROUND(SUM(AI10:AI12),-5)</f>
        <v>#REF!</v>
      </c>
      <c r="AJ13" s="4" t="e">
        <f>ROUND(SUM(AJ10:AJ12),-5)</f>
        <v>#REF!</v>
      </c>
    </row>
    <row r="14" spans="1:36" s="44" customFormat="1" ht="15.95" customHeight="1" thickTop="1" x14ac:dyDescent="0.2">
      <c r="A14" s="58"/>
      <c r="B14" s="61"/>
      <c r="C14" s="73"/>
      <c r="D14" s="7"/>
      <c r="E14" s="7"/>
      <c r="F14" s="11"/>
      <c r="G14" s="7"/>
      <c r="H14" s="12"/>
      <c r="I14" s="7"/>
      <c r="J14" s="7"/>
      <c r="K14" s="7"/>
      <c r="L14" s="7"/>
      <c r="M14" s="7"/>
      <c r="N14" s="7"/>
      <c r="O14" s="7"/>
      <c r="P14" s="7"/>
      <c r="Q14" s="7"/>
      <c r="R14" s="7"/>
      <c r="S14" s="7"/>
      <c r="T14" s="7"/>
      <c r="U14" s="7"/>
      <c r="V14" s="7"/>
      <c r="W14" s="7"/>
      <c r="X14" s="7"/>
      <c r="Y14" s="7"/>
      <c r="Z14" s="7"/>
      <c r="AA14" s="7"/>
      <c r="AB14" s="7"/>
      <c r="AC14" s="7"/>
      <c r="AD14" s="7"/>
      <c r="AE14" s="7"/>
      <c r="AF14" s="12"/>
      <c r="AG14" s="7"/>
      <c r="AH14" s="12"/>
      <c r="AI14" s="7"/>
      <c r="AJ14" s="7"/>
    </row>
    <row r="15" spans="1:36" s="44" customFormat="1" ht="15.95" customHeight="1" x14ac:dyDescent="0.2">
      <c r="A15" s="58"/>
      <c r="B15" s="61"/>
      <c r="C15" s="73"/>
      <c r="D15" s="7"/>
      <c r="E15" s="7"/>
      <c r="F15" s="11"/>
      <c r="G15" s="7"/>
      <c r="H15" s="12"/>
      <c r="I15" s="7"/>
      <c r="J15" s="7"/>
      <c r="K15" s="7"/>
      <c r="L15" s="7"/>
      <c r="M15" s="7"/>
      <c r="N15" s="7"/>
      <c r="O15" s="7"/>
      <c r="P15" s="7"/>
      <c r="Q15" s="7"/>
      <c r="R15" s="7"/>
      <c r="S15" s="7"/>
      <c r="T15" s="7"/>
      <c r="U15" s="7"/>
      <c r="V15" s="7"/>
      <c r="W15" s="7"/>
      <c r="X15" s="7"/>
      <c r="Y15" s="7"/>
      <c r="Z15" s="7"/>
      <c r="AA15" s="7"/>
      <c r="AB15" s="7"/>
      <c r="AC15" s="7"/>
      <c r="AD15" s="7"/>
      <c r="AE15" s="7"/>
      <c r="AF15" s="12"/>
      <c r="AG15" s="7"/>
      <c r="AH15" s="12"/>
      <c r="AI15" s="7"/>
      <c r="AJ15" s="7"/>
    </row>
    <row r="16" spans="1:36" s="44" customFormat="1" ht="15.95" customHeight="1" x14ac:dyDescent="0.2">
      <c r="A16" s="284" t="s">
        <v>93</v>
      </c>
      <c r="B16" s="284"/>
      <c r="C16" s="284"/>
      <c r="D16" s="7"/>
      <c r="E16" s="7"/>
      <c r="F16" s="11"/>
      <c r="G16" s="7"/>
      <c r="H16" s="12"/>
      <c r="I16" s="7"/>
      <c r="J16" s="7"/>
      <c r="K16" s="7"/>
      <c r="L16" s="7"/>
      <c r="M16" s="7"/>
      <c r="N16" s="7"/>
      <c r="O16" s="7"/>
      <c r="P16" s="7"/>
      <c r="Q16" s="7"/>
      <c r="R16" s="7"/>
      <c r="S16" s="7"/>
      <c r="T16" s="7"/>
      <c r="U16" s="7"/>
      <c r="V16" s="7"/>
      <c r="W16" s="7"/>
      <c r="X16" s="7"/>
      <c r="Y16" s="7"/>
      <c r="Z16" s="7"/>
      <c r="AA16" s="7"/>
      <c r="AB16" s="7"/>
      <c r="AC16" s="7"/>
      <c r="AD16" s="7"/>
      <c r="AE16" s="7"/>
      <c r="AF16" s="12"/>
      <c r="AG16" s="7"/>
      <c r="AH16" s="12"/>
      <c r="AI16" s="7"/>
      <c r="AJ16" s="7"/>
    </row>
    <row r="17" spans="1:36" s="44" customFormat="1" ht="15.95" customHeight="1" x14ac:dyDescent="0.2">
      <c r="A17" s="40"/>
      <c r="B17" s="275" t="s">
        <v>34</v>
      </c>
      <c r="C17" s="73" t="s">
        <v>36</v>
      </c>
      <c r="D17" s="7"/>
      <c r="E17" s="7"/>
      <c r="F17" s="11"/>
      <c r="G17" s="7"/>
      <c r="H17" s="12"/>
      <c r="I17" s="7">
        <f t="shared" ref="I17:AF17" si="14">I6</f>
        <v>11</v>
      </c>
      <c r="J17" s="7">
        <f t="shared" si="14"/>
        <v>21</v>
      </c>
      <c r="K17" s="7">
        <f t="shared" si="14"/>
        <v>21</v>
      </c>
      <c r="L17" s="7">
        <f t="shared" si="14"/>
        <v>40</v>
      </c>
      <c r="M17" s="7">
        <f t="shared" si="14"/>
        <v>50</v>
      </c>
      <c r="N17" s="7">
        <f t="shared" si="14"/>
        <v>110</v>
      </c>
      <c r="O17" s="7">
        <f t="shared" si="14"/>
        <v>190</v>
      </c>
      <c r="P17" s="7">
        <f t="shared" si="14"/>
        <v>290</v>
      </c>
      <c r="Q17" s="7">
        <f t="shared" si="14"/>
        <v>490</v>
      </c>
      <c r="R17" s="7">
        <f t="shared" si="14"/>
        <v>800</v>
      </c>
      <c r="S17" s="7">
        <f t="shared" si="14"/>
        <v>1000</v>
      </c>
      <c r="T17" s="7">
        <f t="shared" si="14"/>
        <v>1200</v>
      </c>
      <c r="U17" s="7">
        <f t="shared" si="14"/>
        <v>1400</v>
      </c>
      <c r="V17" s="7">
        <f t="shared" si="14"/>
        <v>1600</v>
      </c>
      <c r="W17" s="7">
        <f t="shared" si="14"/>
        <v>1800</v>
      </c>
      <c r="X17" s="7">
        <f t="shared" si="14"/>
        <v>2000</v>
      </c>
      <c r="Y17" s="7">
        <f t="shared" si="14"/>
        <v>2200</v>
      </c>
      <c r="Z17" s="7">
        <f t="shared" si="14"/>
        <v>2300</v>
      </c>
      <c r="AA17" s="7">
        <f t="shared" si="14"/>
        <v>2400</v>
      </c>
      <c r="AB17" s="7">
        <f t="shared" si="14"/>
        <v>2700</v>
      </c>
      <c r="AC17" s="7">
        <f t="shared" si="14"/>
        <v>2800</v>
      </c>
      <c r="AD17" s="7">
        <f t="shared" si="14"/>
        <v>3100</v>
      </c>
      <c r="AE17" s="7">
        <f t="shared" si="14"/>
        <v>3100</v>
      </c>
      <c r="AF17" s="12">
        <f t="shared" si="14"/>
        <v>3100</v>
      </c>
      <c r="AG17" s="7">
        <f>T17</f>
        <v>1200</v>
      </c>
      <c r="AH17" s="47">
        <f>AF17</f>
        <v>3100</v>
      </c>
      <c r="AI17" s="7"/>
      <c r="AJ17" s="7"/>
    </row>
    <row r="18" spans="1:36" s="44" customFormat="1" ht="15.95" customHeight="1" x14ac:dyDescent="0.2">
      <c r="A18" s="58"/>
      <c r="B18" s="275"/>
      <c r="C18" s="11" t="s">
        <v>159</v>
      </c>
      <c r="D18" s="7"/>
      <c r="E18" s="7"/>
      <c r="F18" s="11"/>
      <c r="G18" s="7"/>
      <c r="H18" s="12"/>
      <c r="I18" s="7">
        <f>I13*30</f>
        <v>3300</v>
      </c>
      <c r="J18" s="7">
        <f t="shared" ref="J18:AF18" si="15">J13*30</f>
        <v>12600</v>
      </c>
      <c r="K18" s="7">
        <f t="shared" si="15"/>
        <v>12600</v>
      </c>
      <c r="L18" s="7">
        <f t="shared" si="15"/>
        <v>24000</v>
      </c>
      <c r="M18" s="7">
        <f t="shared" si="15"/>
        <v>36000</v>
      </c>
      <c r="N18" s="7">
        <f t="shared" si="15"/>
        <v>81000</v>
      </c>
      <c r="O18" s="7">
        <f t="shared" si="15"/>
        <v>129000</v>
      </c>
      <c r="P18" s="7">
        <f t="shared" si="15"/>
        <v>204000</v>
      </c>
      <c r="Q18" s="7">
        <f t="shared" si="15"/>
        <v>354000</v>
      </c>
      <c r="R18" s="7">
        <f t="shared" si="15"/>
        <v>600000</v>
      </c>
      <c r="S18" s="7">
        <f t="shared" si="15"/>
        <v>750000</v>
      </c>
      <c r="T18" s="7">
        <f t="shared" si="15"/>
        <v>900000</v>
      </c>
      <c r="U18" s="7">
        <f t="shared" si="15"/>
        <v>1050000</v>
      </c>
      <c r="V18" s="7">
        <f t="shared" si="15"/>
        <v>1200000</v>
      </c>
      <c r="W18" s="7">
        <f t="shared" si="15"/>
        <v>1350000</v>
      </c>
      <c r="X18" s="7">
        <f t="shared" si="15"/>
        <v>1500000</v>
      </c>
      <c r="Y18" s="7">
        <f t="shared" si="15"/>
        <v>1650000</v>
      </c>
      <c r="Z18" s="7">
        <f t="shared" si="15"/>
        <v>1725000</v>
      </c>
      <c r="AA18" s="7">
        <f t="shared" si="15"/>
        <v>1800000</v>
      </c>
      <c r="AB18" s="7">
        <f t="shared" si="15"/>
        <v>2025000</v>
      </c>
      <c r="AC18" s="7">
        <f t="shared" si="15"/>
        <v>2100000</v>
      </c>
      <c r="AD18" s="7">
        <f t="shared" si="15"/>
        <v>2325000</v>
      </c>
      <c r="AE18" s="7">
        <f t="shared" si="15"/>
        <v>2325000</v>
      </c>
      <c r="AF18" s="12">
        <f t="shared" si="15"/>
        <v>2325000</v>
      </c>
      <c r="AG18" s="13">
        <f>SUM(I18:T18)</f>
        <v>3106500</v>
      </c>
      <c r="AH18" s="49">
        <f>SUM(U18:AF18)</f>
        <v>21375000</v>
      </c>
      <c r="AI18" s="7"/>
      <c r="AJ18" s="7"/>
    </row>
    <row r="19" spans="1:36" s="83" customFormat="1" ht="15.95" customHeight="1" x14ac:dyDescent="0.2">
      <c r="A19" s="79"/>
      <c r="B19" s="275"/>
      <c r="C19" s="80" t="s">
        <v>27</v>
      </c>
      <c r="D19" s="81"/>
      <c r="E19" s="81"/>
      <c r="F19" s="82"/>
      <c r="G19" s="81"/>
      <c r="H19" s="75"/>
      <c r="I19" s="81">
        <f t="shared" ref="I19:AF19" si="16">I18*RX_SALES_PRICE</f>
        <v>115500</v>
      </c>
      <c r="J19" s="81">
        <f t="shared" si="16"/>
        <v>441000</v>
      </c>
      <c r="K19" s="81">
        <f t="shared" si="16"/>
        <v>441000</v>
      </c>
      <c r="L19" s="81">
        <f t="shared" si="16"/>
        <v>840000</v>
      </c>
      <c r="M19" s="81">
        <f t="shared" si="16"/>
        <v>1260000</v>
      </c>
      <c r="N19" s="81">
        <f t="shared" si="16"/>
        <v>2835000</v>
      </c>
      <c r="O19" s="81">
        <f t="shared" si="16"/>
        <v>4515000</v>
      </c>
      <c r="P19" s="81">
        <f t="shared" si="16"/>
        <v>7140000</v>
      </c>
      <c r="Q19" s="81">
        <f t="shared" si="16"/>
        <v>12390000</v>
      </c>
      <c r="R19" s="81">
        <f t="shared" si="16"/>
        <v>21000000</v>
      </c>
      <c r="S19" s="81">
        <f t="shared" si="16"/>
        <v>26250000</v>
      </c>
      <c r="T19" s="81">
        <f t="shared" si="16"/>
        <v>31500000</v>
      </c>
      <c r="U19" s="81">
        <f t="shared" si="16"/>
        <v>36750000</v>
      </c>
      <c r="V19" s="81">
        <f t="shared" si="16"/>
        <v>42000000</v>
      </c>
      <c r="W19" s="81">
        <f t="shared" si="16"/>
        <v>47250000</v>
      </c>
      <c r="X19" s="81">
        <f t="shared" si="16"/>
        <v>52500000</v>
      </c>
      <c r="Y19" s="81">
        <f t="shared" si="16"/>
        <v>57750000</v>
      </c>
      <c r="Z19" s="81">
        <f t="shared" si="16"/>
        <v>60375000</v>
      </c>
      <c r="AA19" s="81">
        <f t="shared" si="16"/>
        <v>63000000</v>
      </c>
      <c r="AB19" s="81">
        <f t="shared" si="16"/>
        <v>70875000</v>
      </c>
      <c r="AC19" s="81">
        <f t="shared" si="16"/>
        <v>73500000</v>
      </c>
      <c r="AD19" s="81">
        <f t="shared" si="16"/>
        <v>81375000</v>
      </c>
      <c r="AE19" s="81">
        <f t="shared" si="16"/>
        <v>81375000</v>
      </c>
      <c r="AF19" s="75">
        <f t="shared" si="16"/>
        <v>81375000</v>
      </c>
      <c r="AG19" s="15">
        <f>SUM(I19:T19)</f>
        <v>108727500</v>
      </c>
      <c r="AH19" s="45">
        <f>SUM(U19:AF19)</f>
        <v>748125000</v>
      </c>
      <c r="AI19" s="81"/>
      <c r="AJ19" s="81"/>
    </row>
    <row r="20" spans="1:36" s="44" customFormat="1" ht="15.95" customHeight="1" x14ac:dyDescent="0.2">
      <c r="A20" s="58"/>
      <c r="B20" s="57"/>
      <c r="C20" s="11"/>
      <c r="D20" s="7"/>
      <c r="E20" s="7"/>
      <c r="F20" s="11"/>
      <c r="G20" s="7"/>
      <c r="H20" s="12"/>
      <c r="I20" s="7"/>
      <c r="J20" s="7"/>
      <c r="K20" s="7"/>
      <c r="L20" s="7"/>
      <c r="M20" s="7"/>
      <c r="N20" s="7"/>
      <c r="O20" s="7"/>
      <c r="P20" s="7"/>
      <c r="Q20" s="7"/>
      <c r="R20" s="7"/>
      <c r="S20" s="7"/>
      <c r="T20" s="7"/>
      <c r="U20" s="7"/>
      <c r="V20" s="7"/>
      <c r="W20" s="7"/>
      <c r="X20" s="7"/>
      <c r="Y20" s="7"/>
      <c r="Z20" s="7"/>
      <c r="AA20" s="7"/>
      <c r="AB20" s="7"/>
      <c r="AC20" s="7"/>
      <c r="AD20" s="7"/>
      <c r="AE20" s="7"/>
      <c r="AF20" s="12"/>
      <c r="AG20" s="7"/>
      <c r="AH20" s="12"/>
      <c r="AI20" s="7"/>
      <c r="AJ20" s="7"/>
    </row>
    <row r="21" spans="1:36" s="44" customFormat="1" ht="15.95" customHeight="1" x14ac:dyDescent="0.2">
      <c r="A21" s="58"/>
      <c r="B21" s="57"/>
      <c r="C21" s="11"/>
      <c r="D21" s="7"/>
      <c r="E21" s="7"/>
      <c r="F21" s="11"/>
      <c r="G21" s="7"/>
      <c r="H21" s="12"/>
      <c r="I21" s="7"/>
      <c r="J21" s="7"/>
      <c r="K21" s="7"/>
      <c r="L21" s="7"/>
      <c r="M21" s="7"/>
      <c r="N21" s="7"/>
      <c r="O21" s="7"/>
      <c r="P21" s="7"/>
      <c r="Q21" s="7"/>
      <c r="R21" s="7"/>
      <c r="S21" s="7"/>
      <c r="T21" s="7"/>
      <c r="U21" s="7"/>
      <c r="V21" s="7"/>
      <c r="W21" s="7"/>
      <c r="X21" s="7"/>
      <c r="Y21" s="7"/>
      <c r="Z21" s="7"/>
      <c r="AA21" s="7"/>
      <c r="AB21" s="7"/>
      <c r="AC21" s="7"/>
      <c r="AD21" s="7"/>
      <c r="AE21" s="7"/>
      <c r="AF21" s="12"/>
      <c r="AG21" s="7"/>
      <c r="AH21" s="12"/>
      <c r="AI21" s="7"/>
      <c r="AJ21" s="7"/>
    </row>
    <row r="22" spans="1:36" s="10" customFormat="1" x14ac:dyDescent="0.2">
      <c r="B22" s="275" t="s">
        <v>18</v>
      </c>
      <c r="C22" s="55" t="s">
        <v>30</v>
      </c>
      <c r="D22" s="10">
        <v>0</v>
      </c>
      <c r="E22" s="10">
        <v>0</v>
      </c>
      <c r="F22" s="10">
        <v>0</v>
      </c>
      <c r="G22" s="10">
        <v>0</v>
      </c>
      <c r="H22" s="12">
        <v>0</v>
      </c>
      <c r="I22" s="10">
        <v>0</v>
      </c>
      <c r="J22" s="10">
        <v>0</v>
      </c>
      <c r="K22" s="10">
        <v>40</v>
      </c>
      <c r="L22" s="10">
        <v>60</v>
      </c>
      <c r="M22" s="10">
        <v>100</v>
      </c>
      <c r="N22" s="10">
        <f>M22+100</f>
        <v>200</v>
      </c>
      <c r="O22" s="10">
        <f t="shared" ref="O22:P22" si="17">N22+100</f>
        <v>300</v>
      </c>
      <c r="P22" s="10">
        <f t="shared" si="17"/>
        <v>400</v>
      </c>
      <c r="Q22" s="10">
        <f>P22+200</f>
        <v>600</v>
      </c>
      <c r="R22" s="10">
        <f>Q22+200</f>
        <v>800</v>
      </c>
      <c r="S22" s="10">
        <f>R22+200</f>
        <v>1000</v>
      </c>
      <c r="T22" s="10">
        <f>S22+200</f>
        <v>1200</v>
      </c>
      <c r="U22" s="10">
        <f>T22+100</f>
        <v>1300</v>
      </c>
      <c r="V22" s="10">
        <f t="shared" ref="V22:AF22" si="18">U22+100</f>
        <v>1400</v>
      </c>
      <c r="W22" s="10">
        <f t="shared" si="18"/>
        <v>1500</v>
      </c>
      <c r="X22" s="10">
        <f t="shared" si="18"/>
        <v>1600</v>
      </c>
      <c r="Y22" s="10">
        <f t="shared" si="18"/>
        <v>1700</v>
      </c>
      <c r="Z22" s="10">
        <f t="shared" si="18"/>
        <v>1800</v>
      </c>
      <c r="AA22" s="10">
        <f t="shared" si="18"/>
        <v>1900</v>
      </c>
      <c r="AB22" s="10">
        <f t="shared" si="18"/>
        <v>2000</v>
      </c>
      <c r="AC22" s="10">
        <f t="shared" si="18"/>
        <v>2100</v>
      </c>
      <c r="AD22" s="10">
        <f t="shared" si="18"/>
        <v>2200</v>
      </c>
      <c r="AE22" s="10">
        <f t="shared" si="18"/>
        <v>2300</v>
      </c>
      <c r="AF22" s="12">
        <f t="shared" si="18"/>
        <v>2400</v>
      </c>
      <c r="AG22" s="7">
        <f>T22</f>
        <v>1200</v>
      </c>
      <c r="AH22" s="47">
        <f>AF22</f>
        <v>2400</v>
      </c>
      <c r="AI22" s="10" t="e">
        <f>AH22*(#REF!/#REF!)</f>
        <v>#REF!</v>
      </c>
      <c r="AJ22" s="10" t="e">
        <f>AI22*(#REF!/#REF!)</f>
        <v>#REF!</v>
      </c>
    </row>
    <row r="23" spans="1:36" s="10" customFormat="1" x14ac:dyDescent="0.2">
      <c r="B23" s="275"/>
      <c r="C23" s="55" t="s">
        <v>22</v>
      </c>
      <c r="H23" s="12"/>
      <c r="I23" s="10">
        <v>0</v>
      </c>
      <c r="J23" s="10">
        <v>0</v>
      </c>
      <c r="K23" s="10">
        <f>K22*22*20</f>
        <v>17600</v>
      </c>
      <c r="L23" s="10">
        <f>L22*22*20</f>
        <v>26400</v>
      </c>
      <c r="M23" s="10">
        <f>M22*22*20</f>
        <v>44000</v>
      </c>
      <c r="N23" s="10">
        <f>N22*22*20</f>
        <v>88000</v>
      </c>
      <c r="O23" s="10">
        <f t="shared" ref="O23:AF23" si="19">O22*22*20</f>
        <v>132000</v>
      </c>
      <c r="P23" s="10">
        <f t="shared" si="19"/>
        <v>176000</v>
      </c>
      <c r="Q23" s="10">
        <f t="shared" si="19"/>
        <v>264000</v>
      </c>
      <c r="R23" s="10">
        <f t="shared" si="19"/>
        <v>352000</v>
      </c>
      <c r="S23" s="10">
        <f t="shared" si="19"/>
        <v>440000</v>
      </c>
      <c r="T23" s="10">
        <f t="shared" si="19"/>
        <v>528000</v>
      </c>
      <c r="U23" s="10">
        <f t="shared" si="19"/>
        <v>572000</v>
      </c>
      <c r="V23" s="10">
        <f t="shared" si="19"/>
        <v>616000</v>
      </c>
      <c r="W23" s="10">
        <f t="shared" si="19"/>
        <v>660000</v>
      </c>
      <c r="X23" s="10">
        <f t="shared" si="19"/>
        <v>704000</v>
      </c>
      <c r="Y23" s="10">
        <f t="shared" si="19"/>
        <v>748000</v>
      </c>
      <c r="Z23" s="10">
        <f t="shared" si="19"/>
        <v>792000</v>
      </c>
      <c r="AA23" s="10">
        <f t="shared" si="19"/>
        <v>836000</v>
      </c>
      <c r="AB23" s="10">
        <f t="shared" si="19"/>
        <v>880000</v>
      </c>
      <c r="AC23" s="10">
        <f t="shared" si="19"/>
        <v>924000</v>
      </c>
      <c r="AD23" s="10">
        <f t="shared" si="19"/>
        <v>968000</v>
      </c>
      <c r="AE23" s="10">
        <f t="shared" si="19"/>
        <v>1012000</v>
      </c>
      <c r="AF23" s="12">
        <f t="shared" si="19"/>
        <v>1056000</v>
      </c>
      <c r="AG23" s="13">
        <f>SUM(I23:T23)</f>
        <v>2068000</v>
      </c>
      <c r="AH23" s="49">
        <f>SUM(U23:AF23)</f>
        <v>9768000</v>
      </c>
    </row>
    <row r="24" spans="1:36" s="10" customFormat="1" x14ac:dyDescent="0.2">
      <c r="B24" s="275"/>
      <c r="C24" s="55" t="s">
        <v>27</v>
      </c>
      <c r="H24" s="12"/>
      <c r="I24" s="74">
        <v>0</v>
      </c>
      <c r="J24" s="74">
        <v>0</v>
      </c>
      <c r="K24" s="74">
        <f t="shared" ref="K24:AF24" si="20">K23*RX_SALES_PRICE</f>
        <v>616000</v>
      </c>
      <c r="L24" s="74">
        <f t="shared" si="20"/>
        <v>924000</v>
      </c>
      <c r="M24" s="74">
        <f t="shared" si="20"/>
        <v>1540000</v>
      </c>
      <c r="N24" s="74">
        <f t="shared" si="20"/>
        <v>3080000</v>
      </c>
      <c r="O24" s="74">
        <f t="shared" si="20"/>
        <v>4620000</v>
      </c>
      <c r="P24" s="74">
        <f t="shared" si="20"/>
        <v>6160000</v>
      </c>
      <c r="Q24" s="74">
        <f t="shared" si="20"/>
        <v>9240000</v>
      </c>
      <c r="R24" s="74">
        <f t="shared" si="20"/>
        <v>12320000</v>
      </c>
      <c r="S24" s="74">
        <f t="shared" si="20"/>
        <v>15400000</v>
      </c>
      <c r="T24" s="74">
        <f t="shared" si="20"/>
        <v>18480000</v>
      </c>
      <c r="U24" s="74">
        <f t="shared" si="20"/>
        <v>20020000</v>
      </c>
      <c r="V24" s="74">
        <f t="shared" si="20"/>
        <v>21560000</v>
      </c>
      <c r="W24" s="74">
        <f t="shared" si="20"/>
        <v>23100000</v>
      </c>
      <c r="X24" s="74">
        <f t="shared" si="20"/>
        <v>24640000</v>
      </c>
      <c r="Y24" s="74">
        <f t="shared" si="20"/>
        <v>26180000</v>
      </c>
      <c r="Z24" s="74">
        <f t="shared" si="20"/>
        <v>27720000</v>
      </c>
      <c r="AA24" s="74">
        <f t="shared" si="20"/>
        <v>29260000</v>
      </c>
      <c r="AB24" s="74">
        <f t="shared" si="20"/>
        <v>30800000</v>
      </c>
      <c r="AC24" s="74">
        <f t="shared" si="20"/>
        <v>32340000</v>
      </c>
      <c r="AD24" s="74">
        <f t="shared" si="20"/>
        <v>33880000</v>
      </c>
      <c r="AE24" s="74">
        <f t="shared" si="20"/>
        <v>35420000</v>
      </c>
      <c r="AF24" s="75">
        <f t="shared" si="20"/>
        <v>36960000</v>
      </c>
      <c r="AG24" s="15">
        <f>SUM(I24:T24)</f>
        <v>72380000</v>
      </c>
      <c r="AH24" s="45">
        <f>SUM(U24:AF24)</f>
        <v>341880000</v>
      </c>
    </row>
    <row r="25" spans="1:36" s="10" customFormat="1" x14ac:dyDescent="0.2">
      <c r="B25" s="60"/>
      <c r="C25" s="55"/>
      <c r="H25" s="12"/>
      <c r="AC25" s="7"/>
      <c r="AD25" s="7"/>
      <c r="AF25" s="12"/>
      <c r="AG25" s="13"/>
      <c r="AH25" s="49"/>
    </row>
    <row r="26" spans="1:36" s="10" customFormat="1" x14ac:dyDescent="0.2">
      <c r="B26" s="277" t="s">
        <v>26</v>
      </c>
      <c r="C26" s="55" t="s">
        <v>21</v>
      </c>
      <c r="D26" s="10">
        <v>0</v>
      </c>
      <c r="E26" s="10">
        <v>0</v>
      </c>
      <c r="F26" s="10">
        <v>0</v>
      </c>
      <c r="G26" s="10">
        <v>0</v>
      </c>
      <c r="H26" s="12">
        <v>0</v>
      </c>
      <c r="I26" s="10">
        <v>0</v>
      </c>
      <c r="J26" s="10">
        <v>0</v>
      </c>
      <c r="K26" s="10">
        <v>0</v>
      </c>
      <c r="L26" s="10">
        <v>10</v>
      </c>
      <c r="M26" s="10">
        <v>20</v>
      </c>
      <c r="N26" s="10">
        <v>50</v>
      </c>
      <c r="O26" s="10">
        <f>N26+20</f>
        <v>70</v>
      </c>
      <c r="P26" s="10">
        <f t="shared" ref="P26:AF26" si="21">O26+20</f>
        <v>90</v>
      </c>
      <c r="Q26" s="10">
        <f t="shared" si="21"/>
        <v>110</v>
      </c>
      <c r="R26" s="10">
        <f t="shared" si="21"/>
        <v>130</v>
      </c>
      <c r="S26" s="10">
        <f t="shared" si="21"/>
        <v>150</v>
      </c>
      <c r="T26" s="10">
        <f t="shared" si="21"/>
        <v>170</v>
      </c>
      <c r="U26" s="10">
        <f t="shared" si="21"/>
        <v>190</v>
      </c>
      <c r="V26" s="10">
        <f t="shared" si="21"/>
        <v>210</v>
      </c>
      <c r="W26" s="10">
        <f t="shared" si="21"/>
        <v>230</v>
      </c>
      <c r="X26" s="10">
        <f t="shared" si="21"/>
        <v>250</v>
      </c>
      <c r="Y26" s="10">
        <f t="shared" si="21"/>
        <v>270</v>
      </c>
      <c r="Z26" s="10">
        <f t="shared" si="21"/>
        <v>290</v>
      </c>
      <c r="AA26" s="10">
        <f t="shared" si="21"/>
        <v>310</v>
      </c>
      <c r="AB26" s="10">
        <f t="shared" si="21"/>
        <v>330</v>
      </c>
      <c r="AC26" s="10">
        <f t="shared" si="21"/>
        <v>350</v>
      </c>
      <c r="AD26" s="10">
        <f t="shared" si="21"/>
        <v>370</v>
      </c>
      <c r="AE26" s="10">
        <f t="shared" si="21"/>
        <v>390</v>
      </c>
      <c r="AF26" s="12">
        <f t="shared" si="21"/>
        <v>410</v>
      </c>
      <c r="AG26" s="7">
        <f>T26</f>
        <v>170</v>
      </c>
      <c r="AH26" s="47">
        <f>AF26</f>
        <v>410</v>
      </c>
    </row>
    <row r="27" spans="1:36" s="10" customFormat="1" x14ac:dyDescent="0.2">
      <c r="B27" s="277"/>
      <c r="C27" s="41" t="s">
        <v>160</v>
      </c>
      <c r="H27" s="12"/>
      <c r="I27" s="10">
        <v>0</v>
      </c>
      <c r="J27" s="10">
        <v>0</v>
      </c>
      <c r="K27" s="10">
        <v>0</v>
      </c>
      <c r="L27" s="10">
        <f t="shared" ref="L27:T27" si="22">L26*25*50</f>
        <v>12500</v>
      </c>
      <c r="M27" s="10">
        <f t="shared" si="22"/>
        <v>25000</v>
      </c>
      <c r="N27" s="10">
        <f t="shared" si="22"/>
        <v>62500</v>
      </c>
      <c r="O27" s="10">
        <f t="shared" si="22"/>
        <v>87500</v>
      </c>
      <c r="P27" s="10">
        <f t="shared" si="22"/>
        <v>112500</v>
      </c>
      <c r="Q27" s="10">
        <f t="shared" si="22"/>
        <v>137500</v>
      </c>
      <c r="R27" s="10">
        <f t="shared" si="22"/>
        <v>162500</v>
      </c>
      <c r="S27" s="10">
        <f t="shared" si="22"/>
        <v>187500</v>
      </c>
      <c r="T27" s="10">
        <f t="shared" si="22"/>
        <v>212500</v>
      </c>
      <c r="U27" s="10">
        <f t="shared" ref="U27:AF27" si="23">U26*25*50</f>
        <v>237500</v>
      </c>
      <c r="V27" s="10">
        <f t="shared" si="23"/>
        <v>262500</v>
      </c>
      <c r="W27" s="10">
        <f t="shared" si="23"/>
        <v>287500</v>
      </c>
      <c r="X27" s="10">
        <f t="shared" si="23"/>
        <v>312500</v>
      </c>
      <c r="Y27" s="10">
        <f t="shared" si="23"/>
        <v>337500</v>
      </c>
      <c r="Z27" s="10">
        <f t="shared" si="23"/>
        <v>362500</v>
      </c>
      <c r="AA27" s="10">
        <f t="shared" si="23"/>
        <v>387500</v>
      </c>
      <c r="AB27" s="10">
        <f t="shared" si="23"/>
        <v>412500</v>
      </c>
      <c r="AC27" s="10">
        <f t="shared" si="23"/>
        <v>437500</v>
      </c>
      <c r="AD27" s="10">
        <f t="shared" si="23"/>
        <v>462500</v>
      </c>
      <c r="AE27" s="10">
        <f t="shared" si="23"/>
        <v>487500</v>
      </c>
      <c r="AF27" s="12">
        <f t="shared" si="23"/>
        <v>512500</v>
      </c>
      <c r="AG27" s="13">
        <f>SUM(I27:T27)</f>
        <v>1000000</v>
      </c>
      <c r="AH27" s="49">
        <f>SUM(U27:AF27)</f>
        <v>4500000</v>
      </c>
    </row>
    <row r="28" spans="1:36" s="10" customFormat="1" x14ac:dyDescent="0.2">
      <c r="B28" s="277"/>
      <c r="C28" s="55" t="s">
        <v>27</v>
      </c>
      <c r="H28" s="12"/>
      <c r="I28" s="74">
        <v>0</v>
      </c>
      <c r="J28" s="74">
        <v>0</v>
      </c>
      <c r="K28" s="74">
        <v>0</v>
      </c>
      <c r="L28" s="74">
        <f t="shared" ref="L28:AF28" si="24">L27*ICU_ER_PANEL_PRICE/2</f>
        <v>625000</v>
      </c>
      <c r="M28" s="74">
        <f t="shared" si="24"/>
        <v>1250000</v>
      </c>
      <c r="N28" s="74">
        <f t="shared" si="24"/>
        <v>3125000</v>
      </c>
      <c r="O28" s="74">
        <f t="shared" si="24"/>
        <v>4375000</v>
      </c>
      <c r="P28" s="74">
        <f t="shared" si="24"/>
        <v>5625000</v>
      </c>
      <c r="Q28" s="74">
        <f t="shared" si="24"/>
        <v>6875000</v>
      </c>
      <c r="R28" s="74">
        <f t="shared" si="24"/>
        <v>8125000</v>
      </c>
      <c r="S28" s="74">
        <f t="shared" si="24"/>
        <v>9375000</v>
      </c>
      <c r="T28" s="74">
        <f t="shared" si="24"/>
        <v>10625000</v>
      </c>
      <c r="U28" s="74">
        <f t="shared" si="24"/>
        <v>11875000</v>
      </c>
      <c r="V28" s="74">
        <f t="shared" si="24"/>
        <v>13125000</v>
      </c>
      <c r="W28" s="74">
        <f t="shared" si="24"/>
        <v>14375000</v>
      </c>
      <c r="X28" s="74">
        <f t="shared" si="24"/>
        <v>15625000</v>
      </c>
      <c r="Y28" s="74">
        <f t="shared" si="24"/>
        <v>16875000</v>
      </c>
      <c r="Z28" s="74">
        <f t="shared" si="24"/>
        <v>18125000</v>
      </c>
      <c r="AA28" s="74">
        <f t="shared" si="24"/>
        <v>19375000</v>
      </c>
      <c r="AB28" s="74">
        <f t="shared" si="24"/>
        <v>20625000</v>
      </c>
      <c r="AC28" s="74">
        <f t="shared" si="24"/>
        <v>21875000</v>
      </c>
      <c r="AD28" s="74">
        <f t="shared" si="24"/>
        <v>23125000</v>
      </c>
      <c r="AE28" s="74">
        <f t="shared" si="24"/>
        <v>24375000</v>
      </c>
      <c r="AF28" s="75">
        <f t="shared" si="24"/>
        <v>25625000</v>
      </c>
      <c r="AG28" s="15">
        <f>SUM(I28:T28)</f>
        <v>50000000</v>
      </c>
      <c r="AH28" s="45">
        <f>SUM(U28:AF28)</f>
        <v>225000000</v>
      </c>
    </row>
    <row r="29" spans="1:36" s="10" customFormat="1" x14ac:dyDescent="0.2">
      <c r="B29" s="60"/>
      <c r="C29" s="55"/>
      <c r="H29" s="12"/>
      <c r="T29" s="84"/>
      <c r="AC29" s="7"/>
      <c r="AD29" s="7"/>
      <c r="AF29" s="12"/>
      <c r="AG29" s="13"/>
      <c r="AH29" s="49"/>
    </row>
    <row r="30" spans="1:36" s="10" customFormat="1" x14ac:dyDescent="0.2">
      <c r="B30" s="276" t="s">
        <v>28</v>
      </c>
      <c r="C30" s="55" t="s">
        <v>21</v>
      </c>
      <c r="H30" s="12"/>
      <c r="I30" s="10">
        <v>0</v>
      </c>
      <c r="J30" s="10">
        <v>0</v>
      </c>
      <c r="K30" s="10">
        <v>0</v>
      </c>
      <c r="L30" s="10">
        <v>0</v>
      </c>
      <c r="M30" s="10">
        <v>0</v>
      </c>
      <c r="N30" s="10">
        <v>0</v>
      </c>
      <c r="O30" s="10">
        <v>0</v>
      </c>
      <c r="P30" s="10">
        <v>0</v>
      </c>
      <c r="Q30" s="10">
        <v>0</v>
      </c>
      <c r="R30" s="10">
        <v>0</v>
      </c>
      <c r="S30" s="10">
        <v>0</v>
      </c>
      <c r="T30" s="10">
        <v>0</v>
      </c>
      <c r="U30" s="10">
        <f t="shared" ref="U30:AF30" si="25">I26</f>
        <v>0</v>
      </c>
      <c r="V30" s="10">
        <f t="shared" si="25"/>
        <v>0</v>
      </c>
      <c r="W30" s="10">
        <f t="shared" si="25"/>
        <v>0</v>
      </c>
      <c r="X30" s="10">
        <f t="shared" si="25"/>
        <v>10</v>
      </c>
      <c r="Y30" s="10">
        <f t="shared" si="25"/>
        <v>20</v>
      </c>
      <c r="Z30" s="10">
        <f t="shared" si="25"/>
        <v>50</v>
      </c>
      <c r="AA30" s="10">
        <f t="shared" si="25"/>
        <v>70</v>
      </c>
      <c r="AB30" s="10">
        <f t="shared" si="25"/>
        <v>90</v>
      </c>
      <c r="AC30" s="10">
        <f t="shared" si="25"/>
        <v>110</v>
      </c>
      <c r="AD30" s="10">
        <f t="shared" si="25"/>
        <v>130</v>
      </c>
      <c r="AE30" s="10">
        <f t="shared" si="25"/>
        <v>150</v>
      </c>
      <c r="AF30" s="12">
        <f t="shared" si="25"/>
        <v>170</v>
      </c>
      <c r="AG30" s="7">
        <f>T30</f>
        <v>0</v>
      </c>
      <c r="AH30" s="47">
        <f>AF30</f>
        <v>170</v>
      </c>
      <c r="AI30" s="10">
        <f>Z26</f>
        <v>290</v>
      </c>
    </row>
    <row r="31" spans="1:36" s="10" customFormat="1" x14ac:dyDescent="0.2">
      <c r="B31" s="276"/>
      <c r="C31" s="55" t="s">
        <v>22</v>
      </c>
      <c r="H31" s="12"/>
      <c r="I31" s="10">
        <v>0</v>
      </c>
      <c r="J31" s="10">
        <v>0</v>
      </c>
      <c r="K31" s="10">
        <v>0</v>
      </c>
      <c r="L31" s="10">
        <v>0</v>
      </c>
      <c r="M31" s="10">
        <v>0</v>
      </c>
      <c r="N31" s="10">
        <v>0</v>
      </c>
      <c r="O31" s="10">
        <v>0</v>
      </c>
      <c r="P31" s="10">
        <v>0</v>
      </c>
      <c r="Q31" s="10">
        <v>0</v>
      </c>
      <c r="R31" s="10">
        <v>0</v>
      </c>
      <c r="S31" s="10">
        <v>0</v>
      </c>
      <c r="T31" s="10">
        <v>0</v>
      </c>
      <c r="U31" s="10">
        <f t="shared" ref="U31:AF31" si="26">U30*100*30</f>
        <v>0</v>
      </c>
      <c r="V31" s="10">
        <f t="shared" si="26"/>
        <v>0</v>
      </c>
      <c r="W31" s="10">
        <f t="shared" si="26"/>
        <v>0</v>
      </c>
      <c r="X31" s="10">
        <f t="shared" si="26"/>
        <v>30000</v>
      </c>
      <c r="Y31" s="10">
        <f t="shared" si="26"/>
        <v>60000</v>
      </c>
      <c r="Z31" s="10">
        <f t="shared" si="26"/>
        <v>150000</v>
      </c>
      <c r="AA31" s="10">
        <f t="shared" si="26"/>
        <v>210000</v>
      </c>
      <c r="AB31" s="10">
        <f t="shared" si="26"/>
        <v>270000</v>
      </c>
      <c r="AC31" s="10">
        <f t="shared" si="26"/>
        <v>330000</v>
      </c>
      <c r="AD31" s="10">
        <f t="shared" si="26"/>
        <v>390000</v>
      </c>
      <c r="AE31" s="10">
        <f t="shared" si="26"/>
        <v>450000</v>
      </c>
      <c r="AF31" s="12">
        <f t="shared" si="26"/>
        <v>510000</v>
      </c>
      <c r="AG31" s="13">
        <f>SUM(I31:T31)</f>
        <v>0</v>
      </c>
      <c r="AH31" s="49">
        <f>SUM(U31:AF31)</f>
        <v>2400000</v>
      </c>
      <c r="AI31" s="10">
        <f>AI30*100*30</f>
        <v>870000</v>
      </c>
    </row>
    <row r="32" spans="1:36" s="10" customFormat="1" x14ac:dyDescent="0.2">
      <c r="B32" s="276"/>
      <c r="C32" s="55" t="s">
        <v>27</v>
      </c>
      <c r="H32" s="12"/>
      <c r="I32" s="74">
        <f t="shared" ref="I32:Q32" si="27">I31*100</f>
        <v>0</v>
      </c>
      <c r="J32" s="74">
        <f t="shared" si="27"/>
        <v>0</v>
      </c>
      <c r="K32" s="74">
        <f t="shared" si="27"/>
        <v>0</v>
      </c>
      <c r="L32" s="74">
        <f t="shared" si="27"/>
        <v>0</v>
      </c>
      <c r="M32" s="74">
        <f t="shared" si="27"/>
        <v>0</v>
      </c>
      <c r="N32" s="74">
        <f t="shared" si="27"/>
        <v>0</v>
      </c>
      <c r="O32" s="74">
        <f t="shared" si="27"/>
        <v>0</v>
      </c>
      <c r="P32" s="74">
        <f t="shared" si="27"/>
        <v>0</v>
      </c>
      <c r="Q32" s="74">
        <f t="shared" si="27"/>
        <v>0</v>
      </c>
      <c r="R32" s="74">
        <f t="shared" ref="R32:T32" si="28">R31*100</f>
        <v>0</v>
      </c>
      <c r="S32" s="74">
        <f t="shared" si="28"/>
        <v>0</v>
      </c>
      <c r="T32" s="74">
        <f t="shared" si="28"/>
        <v>0</v>
      </c>
      <c r="U32" s="74">
        <f t="shared" ref="U32:AF32" si="29">U31*ICU_ER_PANEL_PRICE</f>
        <v>0</v>
      </c>
      <c r="V32" s="74">
        <f t="shared" si="29"/>
        <v>0</v>
      </c>
      <c r="W32" s="74">
        <f t="shared" si="29"/>
        <v>0</v>
      </c>
      <c r="X32" s="74">
        <f t="shared" si="29"/>
        <v>3000000</v>
      </c>
      <c r="Y32" s="74">
        <f t="shared" si="29"/>
        <v>6000000</v>
      </c>
      <c r="Z32" s="74">
        <f t="shared" si="29"/>
        <v>15000000</v>
      </c>
      <c r="AA32" s="74">
        <f t="shared" si="29"/>
        <v>21000000</v>
      </c>
      <c r="AB32" s="74">
        <f t="shared" si="29"/>
        <v>27000000</v>
      </c>
      <c r="AC32" s="74">
        <f t="shared" si="29"/>
        <v>33000000</v>
      </c>
      <c r="AD32" s="74">
        <f t="shared" si="29"/>
        <v>39000000</v>
      </c>
      <c r="AE32" s="74">
        <f t="shared" si="29"/>
        <v>45000000</v>
      </c>
      <c r="AF32" s="75">
        <f t="shared" si="29"/>
        <v>51000000</v>
      </c>
      <c r="AG32" s="15">
        <f>SUM(I32:T32)</f>
        <v>0</v>
      </c>
      <c r="AH32" s="45">
        <f>SUM(U32:AF32)</f>
        <v>240000000</v>
      </c>
      <c r="AI32" s="74">
        <f>AI31*100</f>
        <v>87000000</v>
      </c>
    </row>
    <row r="33" spans="1:36" s="10" customFormat="1" x14ac:dyDescent="0.2">
      <c r="B33" s="11"/>
      <c r="H33" s="12"/>
      <c r="AC33" s="7"/>
      <c r="AD33" s="7"/>
      <c r="AF33" s="12"/>
      <c r="AG33" s="13"/>
      <c r="AH33" s="49"/>
    </row>
    <row r="34" spans="1:36" s="10" customFormat="1" x14ac:dyDescent="0.2">
      <c r="B34" s="11"/>
      <c r="H34" s="12"/>
      <c r="AC34" s="7"/>
      <c r="AD34" s="7"/>
      <c r="AF34" s="12"/>
      <c r="AG34" s="13"/>
      <c r="AH34" s="49"/>
    </row>
    <row r="35" spans="1:36" s="10" customFormat="1" x14ac:dyDescent="0.2">
      <c r="B35" s="11"/>
      <c r="C35" s="85" t="s">
        <v>37</v>
      </c>
      <c r="H35" s="12"/>
      <c r="I35" s="10" t="s">
        <v>39</v>
      </c>
      <c r="J35" s="10" t="s">
        <v>39</v>
      </c>
      <c r="K35" s="10" t="s">
        <v>39</v>
      </c>
      <c r="L35" s="10" t="s">
        <v>39</v>
      </c>
      <c r="M35" s="10" t="s">
        <v>39</v>
      </c>
      <c r="N35" s="10" t="s">
        <v>39</v>
      </c>
      <c r="O35" s="10" t="s">
        <v>39</v>
      </c>
      <c r="P35" s="10" t="s">
        <v>39</v>
      </c>
      <c r="Q35" s="10" t="s">
        <v>39</v>
      </c>
      <c r="R35" s="10" t="s">
        <v>39</v>
      </c>
      <c r="S35" s="10" t="s">
        <v>39</v>
      </c>
      <c r="T35" s="10" t="s">
        <v>39</v>
      </c>
      <c r="U35" s="10" t="s">
        <v>39</v>
      </c>
      <c r="V35" s="10" t="s">
        <v>39</v>
      </c>
      <c r="W35" s="10" t="s">
        <v>39</v>
      </c>
      <c r="X35" s="10" t="s">
        <v>39</v>
      </c>
      <c r="Y35" s="10" t="s">
        <v>39</v>
      </c>
      <c r="Z35" s="10" t="s">
        <v>39</v>
      </c>
      <c r="AA35" s="10" t="s">
        <v>39</v>
      </c>
      <c r="AB35" s="10" t="s">
        <v>39</v>
      </c>
      <c r="AC35" s="10" t="s">
        <v>39</v>
      </c>
      <c r="AD35" s="10" t="s">
        <v>39</v>
      </c>
      <c r="AE35" s="10" t="s">
        <v>39</v>
      </c>
      <c r="AF35" s="12" t="s">
        <v>39</v>
      </c>
      <c r="AG35" s="86" t="s">
        <v>39</v>
      </c>
      <c r="AH35" s="87" t="s">
        <v>39</v>
      </c>
    </row>
    <row r="36" spans="1:36" s="10" customFormat="1" x14ac:dyDescent="0.2">
      <c r="B36" s="11"/>
      <c r="C36" s="85" t="s">
        <v>38</v>
      </c>
      <c r="H36" s="12"/>
      <c r="I36" s="10" t="s">
        <v>39</v>
      </c>
      <c r="J36" s="10" t="s">
        <v>39</v>
      </c>
      <c r="K36" s="10" t="s">
        <v>39</v>
      </c>
      <c r="L36" s="10" t="s">
        <v>39</v>
      </c>
      <c r="M36" s="10" t="s">
        <v>39</v>
      </c>
      <c r="N36" s="10" t="s">
        <v>39</v>
      </c>
      <c r="O36" s="10" t="s">
        <v>39</v>
      </c>
      <c r="P36" s="10" t="s">
        <v>39</v>
      </c>
      <c r="Q36" s="10" t="s">
        <v>39</v>
      </c>
      <c r="R36" s="10" t="s">
        <v>39</v>
      </c>
      <c r="S36" s="10" t="s">
        <v>39</v>
      </c>
      <c r="T36" s="10" t="s">
        <v>39</v>
      </c>
      <c r="U36" s="10" t="s">
        <v>39</v>
      </c>
      <c r="V36" s="10" t="s">
        <v>39</v>
      </c>
      <c r="W36" s="10" t="s">
        <v>39</v>
      </c>
      <c r="X36" s="10" t="s">
        <v>39</v>
      </c>
      <c r="Y36" s="10" t="s">
        <v>39</v>
      </c>
      <c r="Z36" s="10" t="s">
        <v>39</v>
      </c>
      <c r="AA36" s="10" t="s">
        <v>39</v>
      </c>
      <c r="AB36" s="10" t="s">
        <v>39</v>
      </c>
      <c r="AC36" s="10" t="s">
        <v>39</v>
      </c>
      <c r="AD36" s="10" t="s">
        <v>39</v>
      </c>
      <c r="AE36" s="10" t="s">
        <v>39</v>
      </c>
      <c r="AF36" s="12" t="s">
        <v>39</v>
      </c>
      <c r="AG36" s="86" t="s">
        <v>39</v>
      </c>
      <c r="AH36" s="87" t="s">
        <v>39</v>
      </c>
    </row>
    <row r="37" spans="1:36" s="10" customFormat="1" x14ac:dyDescent="0.2">
      <c r="B37" s="11"/>
      <c r="H37" s="12"/>
      <c r="AC37" s="7"/>
      <c r="AD37" s="7"/>
      <c r="AF37" s="12"/>
      <c r="AG37" s="13"/>
      <c r="AH37" s="49"/>
    </row>
    <row r="38" spans="1:36" s="10" customFormat="1" x14ac:dyDescent="0.2">
      <c r="B38" s="11"/>
      <c r="H38" s="12"/>
      <c r="AC38" s="7"/>
      <c r="AD38" s="7"/>
      <c r="AF38" s="12"/>
      <c r="AG38" s="13"/>
      <c r="AH38" s="49"/>
    </row>
    <row r="39" spans="1:36" s="10" customFormat="1" x14ac:dyDescent="0.2">
      <c r="B39" s="11"/>
      <c r="H39" s="12"/>
      <c r="AC39" s="7"/>
      <c r="AD39" s="7"/>
      <c r="AF39" s="12"/>
      <c r="AG39" s="13"/>
      <c r="AH39" s="49"/>
    </row>
    <row r="40" spans="1:36" s="10" customFormat="1" ht="13.5" thickBot="1" x14ac:dyDescent="0.25">
      <c r="C40" s="266" t="s">
        <v>131</v>
      </c>
      <c r="D40" s="267"/>
      <c r="E40" s="267"/>
      <c r="F40" s="267"/>
      <c r="G40" s="267"/>
      <c r="H40" s="268"/>
      <c r="I40" s="267">
        <f t="shared" ref="I40:AF40" si="30">ROUND((I13)+(I23/25)+(I27/30),-2)</f>
        <v>100</v>
      </c>
      <c r="J40" s="267">
        <f t="shared" si="30"/>
        <v>400</v>
      </c>
      <c r="K40" s="267">
        <f t="shared" si="30"/>
        <v>1100</v>
      </c>
      <c r="L40" s="267">
        <f t="shared" si="30"/>
        <v>2300</v>
      </c>
      <c r="M40" s="267">
        <f t="shared" si="30"/>
        <v>3800</v>
      </c>
      <c r="N40" s="267">
        <f t="shared" si="30"/>
        <v>8300</v>
      </c>
      <c r="O40" s="267">
        <f t="shared" si="30"/>
        <v>12500</v>
      </c>
      <c r="P40" s="267">
        <f t="shared" si="30"/>
        <v>17600</v>
      </c>
      <c r="Q40" s="267">
        <f t="shared" si="30"/>
        <v>26900</v>
      </c>
      <c r="R40" s="267">
        <f t="shared" si="30"/>
        <v>39500</v>
      </c>
      <c r="S40" s="267">
        <f t="shared" si="30"/>
        <v>48900</v>
      </c>
      <c r="T40" s="267">
        <f t="shared" si="30"/>
        <v>58200</v>
      </c>
      <c r="U40" s="267">
        <f t="shared" si="30"/>
        <v>65800</v>
      </c>
      <c r="V40" s="267">
        <f t="shared" si="30"/>
        <v>73400</v>
      </c>
      <c r="W40" s="267">
        <f t="shared" si="30"/>
        <v>81000</v>
      </c>
      <c r="X40" s="267">
        <f t="shared" si="30"/>
        <v>88600</v>
      </c>
      <c r="Y40" s="267">
        <f t="shared" si="30"/>
        <v>96200</v>
      </c>
      <c r="Z40" s="267">
        <f t="shared" si="30"/>
        <v>101300</v>
      </c>
      <c r="AA40" s="267">
        <f t="shared" si="30"/>
        <v>106400</v>
      </c>
      <c r="AB40" s="267">
        <f t="shared" si="30"/>
        <v>116500</v>
      </c>
      <c r="AC40" s="267">
        <f t="shared" si="30"/>
        <v>121500</v>
      </c>
      <c r="AD40" s="267">
        <f t="shared" si="30"/>
        <v>131600</v>
      </c>
      <c r="AE40" s="267">
        <f t="shared" si="30"/>
        <v>134200</v>
      </c>
      <c r="AF40" s="268">
        <f t="shared" si="30"/>
        <v>136800</v>
      </c>
      <c r="AG40" s="77">
        <f>T40</f>
        <v>58200</v>
      </c>
      <c r="AH40" s="78">
        <f>AF40</f>
        <v>136800</v>
      </c>
    </row>
    <row r="41" spans="1:36" s="10" customFormat="1" ht="13.5" thickTop="1" x14ac:dyDescent="0.2">
      <c r="B41" s="11"/>
      <c r="C41" s="41" t="s">
        <v>27</v>
      </c>
      <c r="H41" s="12"/>
      <c r="I41" s="74">
        <f>I19+I24+I28</f>
        <v>115500</v>
      </c>
      <c r="J41" s="74">
        <f>ROUND(J19+J24+J28,-5)</f>
        <v>400000</v>
      </c>
      <c r="K41" s="74">
        <f>ROUND(K19+K24+K28,-5)</f>
        <v>1100000</v>
      </c>
      <c r="L41" s="74">
        <f>ROUND(L19+L24+L28,-5)</f>
        <v>2400000</v>
      </c>
      <c r="M41" s="74">
        <f>ROUND(M19+M24+M28,-5)</f>
        <v>4100000</v>
      </c>
      <c r="N41" s="74">
        <f t="shared" ref="N41:AF41" si="31">ROUND(N19+N24+N28,-6)</f>
        <v>9000000</v>
      </c>
      <c r="O41" s="74">
        <f t="shared" si="31"/>
        <v>14000000</v>
      </c>
      <c r="P41" s="74">
        <f t="shared" si="31"/>
        <v>19000000</v>
      </c>
      <c r="Q41" s="74">
        <f t="shared" si="31"/>
        <v>29000000</v>
      </c>
      <c r="R41" s="74">
        <f t="shared" si="31"/>
        <v>41000000</v>
      </c>
      <c r="S41" s="74">
        <f t="shared" si="31"/>
        <v>51000000</v>
      </c>
      <c r="T41" s="74">
        <f t="shared" si="31"/>
        <v>61000000</v>
      </c>
      <c r="U41" s="74">
        <f t="shared" si="31"/>
        <v>69000000</v>
      </c>
      <c r="V41" s="74">
        <f t="shared" si="31"/>
        <v>77000000</v>
      </c>
      <c r="W41" s="74">
        <f t="shared" si="31"/>
        <v>85000000</v>
      </c>
      <c r="X41" s="74">
        <f t="shared" si="31"/>
        <v>93000000</v>
      </c>
      <c r="Y41" s="74">
        <f t="shared" si="31"/>
        <v>101000000</v>
      </c>
      <c r="Z41" s="74">
        <f t="shared" si="31"/>
        <v>106000000</v>
      </c>
      <c r="AA41" s="74">
        <f t="shared" si="31"/>
        <v>112000000</v>
      </c>
      <c r="AB41" s="74">
        <f t="shared" si="31"/>
        <v>122000000</v>
      </c>
      <c r="AC41" s="74">
        <f t="shared" si="31"/>
        <v>128000000</v>
      </c>
      <c r="AD41" s="74">
        <f t="shared" si="31"/>
        <v>138000000</v>
      </c>
      <c r="AE41" s="74">
        <f t="shared" si="31"/>
        <v>141000000</v>
      </c>
      <c r="AF41" s="75">
        <f t="shared" si="31"/>
        <v>144000000</v>
      </c>
      <c r="AG41" s="15">
        <f>ROUND(AG19+AG24+AG28+AG32,-6)</f>
        <v>231000000</v>
      </c>
      <c r="AH41" s="15">
        <f>ROUND(AH19+AH24+AH28+AH32,-7)</f>
        <v>1560000000</v>
      </c>
    </row>
    <row r="42" spans="1:36" s="10" customFormat="1" x14ac:dyDescent="0.2">
      <c r="B42" s="11"/>
      <c r="H42" s="12"/>
      <c r="AC42" s="7"/>
      <c r="AD42" s="7"/>
      <c r="AF42" s="12"/>
      <c r="AG42" s="13"/>
      <c r="AH42" s="49"/>
    </row>
    <row r="43" spans="1:36" s="10" customFormat="1" x14ac:dyDescent="0.2">
      <c r="B43" s="11"/>
      <c r="H43" s="12"/>
      <c r="AC43" s="7"/>
      <c r="AD43" s="7"/>
      <c r="AF43" s="12"/>
      <c r="AG43" s="13"/>
      <c r="AH43" s="49"/>
    </row>
    <row r="44" spans="1:36" s="10" customFormat="1" x14ac:dyDescent="0.2">
      <c r="B44" s="11"/>
      <c r="H44" s="12"/>
      <c r="AC44" s="7"/>
      <c r="AD44" s="7"/>
      <c r="AF44" s="12"/>
      <c r="AG44" s="13"/>
      <c r="AH44" s="49"/>
    </row>
    <row r="45" spans="1:36" s="32" customFormat="1" ht="16.5" customHeight="1" x14ac:dyDescent="0.2">
      <c r="A45" s="10"/>
      <c r="B45" s="57"/>
      <c r="C45" s="30"/>
      <c r="D45" s="31"/>
      <c r="E45" s="31"/>
      <c r="F45" s="31"/>
      <c r="G45" s="31"/>
      <c r="H45" s="9"/>
      <c r="AF45" s="35"/>
      <c r="AG45" s="33"/>
      <c r="AH45" s="50"/>
      <c r="AI45" s="10"/>
      <c r="AJ45" s="10"/>
    </row>
    <row r="46" spans="1:36" s="34" customFormat="1" ht="16.5" customHeight="1" x14ac:dyDescent="0.2">
      <c r="A46" s="7"/>
      <c r="B46" s="274" t="s">
        <v>130</v>
      </c>
      <c r="C46" s="73" t="s">
        <v>31</v>
      </c>
      <c r="D46" s="8"/>
      <c r="E46" s="8"/>
      <c r="F46" s="8"/>
      <c r="G46" s="8"/>
      <c r="H46" s="8"/>
      <c r="K46" s="34">
        <f>ROUND((K40/(24*6*1/AVG_RUNTIME_G1)),-1)</f>
        <v>10</v>
      </c>
      <c r="L46" s="34">
        <f>ROUND((L40/(24*6*1/AVG_RUNTIME_G1))-SUM($D46:K46),-1)</f>
        <v>10</v>
      </c>
      <c r="M46" s="34">
        <f>ROUND((M40/(24*6*1/AVG_RUNTIME_G1))-SUM($D46:L46),-1)</f>
        <v>10</v>
      </c>
      <c r="N46" s="34">
        <f>ROUND((N40/(24*6*1/AVG_RUNTIME_G1))-SUM($D46:M46),-1)</f>
        <v>30</v>
      </c>
      <c r="O46" s="34">
        <f>ROUND((O40/(24*6*1/AVG_RUNTIME_G1))-SUM($D46:N46),-1)</f>
        <v>30</v>
      </c>
      <c r="P46" s="34">
        <f>ROUND((P40/(24*6*1/AVG_RUNTIME_G1))-SUM($D46:O46),-1)</f>
        <v>30</v>
      </c>
      <c r="Q46" s="34">
        <f>ROUND((Q40/(24*6*1/AVG_RUNTIME_G1))-SUM($D46:P46),-1)</f>
        <v>70</v>
      </c>
      <c r="R46" s="34">
        <f>ROUND((R40/(24*6*1/AVG_RUNTIME_G1))-SUM($D46:Q46),-1)</f>
        <v>80</v>
      </c>
      <c r="S46" s="34">
        <f>ROUND((S40/(24*6*1/AVG_RUNTIME_G1))-SUM($D46:R46),-1)</f>
        <v>70</v>
      </c>
      <c r="T46" s="34">
        <f>ROUND((T40/(24*6*1/AVG_RUNTIME_G1))-SUM($D46:S46),-1)</f>
        <v>60</v>
      </c>
      <c r="U46" s="34">
        <f>ROUND((U40/(24*6*1/AVG_RUNTIME_G2))-SUM($D46:T46),-1)</f>
        <v>60</v>
      </c>
      <c r="V46" s="34">
        <f>ROUND((V40/(24*6*1/AVG_RUNTIME_G2))-SUM($D46:U46),-1)</f>
        <v>50</v>
      </c>
      <c r="W46" s="34">
        <f>ROUND((W40/(24*6*1/AVG_RUNTIME_G2))-SUM($D46:V46),-1)</f>
        <v>50</v>
      </c>
      <c r="X46" s="34">
        <f>ROUND((X40/(24*6*1/AVG_RUNTIME_G2))-SUM($D46:W46),-1)</f>
        <v>60</v>
      </c>
      <c r="Y46" s="34">
        <f>ROUND((Y40/(24*6*1/AVG_RUNTIME_G2))-SUM($D46:X46),-1)</f>
        <v>50</v>
      </c>
      <c r="Z46" s="34">
        <f>ROUND((Z40/(24*6*1/AVG_RUNTIME_G2))-SUM($D46:Y46),-1)</f>
        <v>30</v>
      </c>
      <c r="AA46" s="34">
        <f>ROUND((AA40/(24*6*1/AVG_RUNTIME_G2))-SUM($D46:Z46),-1)</f>
        <v>40</v>
      </c>
      <c r="AB46" s="34">
        <f>ROUND((AB40/(24*6*1/AVG_RUNTIME_G2))-SUM($D46:AA46),-1)</f>
        <v>70</v>
      </c>
      <c r="AC46" s="34">
        <f>ROUND((AC40/(24*6*1/AVG_RUNTIME_G2))-SUM($D46:AB46),-1)</f>
        <v>30</v>
      </c>
      <c r="AD46" s="34">
        <f>ROUND((AD40/(24*6*1/AVG_RUNTIME_G2))-SUM($D46:AC46),-1)</f>
        <v>70</v>
      </c>
      <c r="AE46" s="34">
        <f>ROUND((AE40/(24*6*1/AVG_RUNTIME_G2))-SUM($D46:AD46),-1)</f>
        <v>20</v>
      </c>
      <c r="AF46" s="35">
        <f>ROUND((AF40/(24*6*1/AVG_RUNTIME_G2))-SUM($D46:AE46),-1)</f>
        <v>20</v>
      </c>
      <c r="AG46" s="13">
        <f t="shared" ref="AG46:AG48" si="32">SUM(I46:T46)</f>
        <v>400</v>
      </c>
      <c r="AH46" s="49">
        <f>SUM(U46:AF46)+AG46</f>
        <v>950</v>
      </c>
      <c r="AI46" s="7"/>
      <c r="AJ46" s="7"/>
    </row>
    <row r="47" spans="1:36" s="28" customFormat="1" ht="12.75" customHeight="1" x14ac:dyDescent="0.2">
      <c r="A47" s="52"/>
      <c r="B47" s="274"/>
      <c r="C47" s="11" t="str">
        <f>C10</f>
        <v>Walgreens</v>
      </c>
      <c r="D47" s="28">
        <v>0</v>
      </c>
      <c r="E47" s="28">
        <v>0</v>
      </c>
      <c r="F47" s="28">
        <v>0</v>
      </c>
      <c r="G47" s="28">
        <f>(J3-I3)*2*(1+$A$47)</f>
        <v>20</v>
      </c>
      <c r="H47" s="28">
        <f>(K3-J3)*2*(1+$A$47)</f>
        <v>0</v>
      </c>
      <c r="U47" s="28">
        <f>(U3*D_DAY_RATE_RX_2015)</f>
        <v>165</v>
      </c>
      <c r="V47" s="28">
        <f t="shared" ref="V47:AF47" si="33">(V3-U3)*D_DAY_RATE_RX_2015</f>
        <v>15</v>
      </c>
      <c r="W47" s="28">
        <f t="shared" si="33"/>
        <v>15</v>
      </c>
      <c r="X47" s="28">
        <f t="shared" si="33"/>
        <v>15</v>
      </c>
      <c r="Y47" s="28">
        <f t="shared" si="33"/>
        <v>15</v>
      </c>
      <c r="Z47" s="28">
        <f t="shared" si="33"/>
        <v>15</v>
      </c>
      <c r="AA47" s="28">
        <f t="shared" si="33"/>
        <v>15</v>
      </c>
      <c r="AB47" s="28">
        <f t="shared" si="33"/>
        <v>45</v>
      </c>
      <c r="AC47" s="28">
        <f t="shared" si="33"/>
        <v>15</v>
      </c>
      <c r="AD47" s="28">
        <f t="shared" si="33"/>
        <v>45</v>
      </c>
      <c r="AE47" s="28">
        <f t="shared" si="33"/>
        <v>0</v>
      </c>
      <c r="AF47" s="27">
        <f t="shared" si="33"/>
        <v>0</v>
      </c>
      <c r="AG47" s="13">
        <f t="shared" si="32"/>
        <v>0</v>
      </c>
      <c r="AH47" s="49">
        <f>SUM(U47:AF47)+AG47</f>
        <v>360</v>
      </c>
    </row>
    <row r="48" spans="1:36" s="28" customFormat="1" x14ac:dyDescent="0.2">
      <c r="B48" s="274"/>
      <c r="C48" s="11" t="str">
        <f>C12</f>
        <v>Other Retail Pharmacies</v>
      </c>
      <c r="G48" s="28">
        <f>(J5-I5)*2*(1+$A$47)</f>
        <v>0</v>
      </c>
      <c r="H48" s="28">
        <f>(K5-J5)*2*(1+$A$47)</f>
        <v>0</v>
      </c>
      <c r="U48" s="28">
        <f>(U5*D_DAY_RATE_RX_2015)</f>
        <v>45</v>
      </c>
      <c r="V48" s="28">
        <f t="shared" ref="V48:AF48" si="34">(V5-U5)*D_DAY_RATE_RX_2015</f>
        <v>15</v>
      </c>
      <c r="W48" s="28">
        <f t="shared" si="34"/>
        <v>15</v>
      </c>
      <c r="X48" s="28">
        <f t="shared" si="34"/>
        <v>15</v>
      </c>
      <c r="Y48" s="28">
        <f t="shared" si="34"/>
        <v>15</v>
      </c>
      <c r="Z48" s="28">
        <f t="shared" si="34"/>
        <v>0</v>
      </c>
      <c r="AA48" s="28">
        <f t="shared" si="34"/>
        <v>0</v>
      </c>
      <c r="AB48" s="28">
        <f t="shared" si="34"/>
        <v>0</v>
      </c>
      <c r="AC48" s="28">
        <f t="shared" si="34"/>
        <v>0</v>
      </c>
      <c r="AD48" s="28">
        <f t="shared" si="34"/>
        <v>0</v>
      </c>
      <c r="AE48" s="28">
        <f t="shared" si="34"/>
        <v>0</v>
      </c>
      <c r="AF48" s="27">
        <f t="shared" si="34"/>
        <v>0</v>
      </c>
      <c r="AG48" s="13">
        <f t="shared" si="32"/>
        <v>0</v>
      </c>
      <c r="AH48" s="49">
        <f>SUM(U48:AF48)+AG48</f>
        <v>105</v>
      </c>
    </row>
    <row r="49" spans="2:44" s="91" customFormat="1" x14ac:dyDescent="0.2">
      <c r="B49" s="274"/>
      <c r="C49" s="73" t="s">
        <v>33</v>
      </c>
      <c r="D49" s="92">
        <v>0</v>
      </c>
      <c r="E49" s="92">
        <v>0</v>
      </c>
      <c r="F49" s="92">
        <v>0</v>
      </c>
      <c r="G49" s="92">
        <v>0</v>
      </c>
      <c r="H49" s="92">
        <v>0</v>
      </c>
      <c r="I49" s="92">
        <f>I30*HOSPITAL_NUM_ML_2015</f>
        <v>0</v>
      </c>
      <c r="J49" s="92">
        <f t="shared" ref="J49:AF49" si="35">(J30-I30)*HOSPITAL_NUM_ML_2015</f>
        <v>0</v>
      </c>
      <c r="K49" s="92">
        <f t="shared" si="35"/>
        <v>0</v>
      </c>
      <c r="L49" s="92">
        <f t="shared" si="35"/>
        <v>0</v>
      </c>
      <c r="M49" s="92">
        <f t="shared" si="35"/>
        <v>0</v>
      </c>
      <c r="N49" s="92">
        <f t="shared" si="35"/>
        <v>0</v>
      </c>
      <c r="O49" s="92">
        <f t="shared" si="35"/>
        <v>0</v>
      </c>
      <c r="P49" s="92">
        <f t="shared" si="35"/>
        <v>0</v>
      </c>
      <c r="Q49" s="92">
        <f t="shared" si="35"/>
        <v>0</v>
      </c>
      <c r="R49" s="92">
        <f t="shared" si="35"/>
        <v>0</v>
      </c>
      <c r="S49" s="92">
        <f t="shared" si="35"/>
        <v>0</v>
      </c>
      <c r="T49" s="92">
        <f t="shared" si="35"/>
        <v>0</v>
      </c>
      <c r="U49" s="92">
        <f t="shared" si="35"/>
        <v>0</v>
      </c>
      <c r="V49" s="92">
        <f t="shared" si="35"/>
        <v>0</v>
      </c>
      <c r="W49" s="92">
        <f t="shared" si="35"/>
        <v>0</v>
      </c>
      <c r="X49" s="92">
        <f t="shared" si="35"/>
        <v>40</v>
      </c>
      <c r="Y49" s="92">
        <f t="shared" si="35"/>
        <v>40</v>
      </c>
      <c r="Z49" s="92">
        <f t="shared" si="35"/>
        <v>120</v>
      </c>
      <c r="AA49" s="92">
        <f t="shared" si="35"/>
        <v>80</v>
      </c>
      <c r="AB49" s="92">
        <f t="shared" si="35"/>
        <v>80</v>
      </c>
      <c r="AC49" s="92">
        <f t="shared" si="35"/>
        <v>80</v>
      </c>
      <c r="AD49" s="92">
        <f t="shared" si="35"/>
        <v>80</v>
      </c>
      <c r="AE49" s="92">
        <f t="shared" si="35"/>
        <v>80</v>
      </c>
      <c r="AF49" s="95">
        <f t="shared" si="35"/>
        <v>80</v>
      </c>
      <c r="AG49" s="13">
        <f>SUM(I49:T49)</f>
        <v>0</v>
      </c>
      <c r="AH49" s="49">
        <f>SUM(U49:AF49)+AG49</f>
        <v>680</v>
      </c>
    </row>
    <row r="50" spans="2:44" s="16" customFormat="1" x14ac:dyDescent="0.2">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6"/>
      <c r="AG50" s="17"/>
      <c r="AH50" s="45"/>
      <c r="AI50" s="37"/>
      <c r="AJ50" s="37"/>
      <c r="AK50" s="37"/>
      <c r="AL50" s="37"/>
      <c r="AM50" s="37"/>
      <c r="AN50" s="37"/>
      <c r="AO50" s="37"/>
      <c r="AP50" s="37"/>
      <c r="AQ50" s="37"/>
      <c r="AR50" s="88"/>
    </row>
    <row r="51" spans="2:44" s="16" customFormat="1" x14ac:dyDescent="0.2">
      <c r="AF51" s="39"/>
      <c r="AG51" s="54"/>
      <c r="AH51" s="51"/>
    </row>
    <row r="53" spans="2:44" ht="13.5" thickBot="1" x14ac:dyDescent="0.25">
      <c r="C53" s="73" t="s">
        <v>40</v>
      </c>
      <c r="I53" s="97">
        <f t="shared" ref="I53:AF53" si="36">SUM(I46:I51)</f>
        <v>0</v>
      </c>
      <c r="J53" s="97">
        <f t="shared" si="36"/>
        <v>0</v>
      </c>
      <c r="K53" s="97">
        <f t="shared" si="36"/>
        <v>10</v>
      </c>
      <c r="L53" s="97">
        <f t="shared" si="36"/>
        <v>10</v>
      </c>
      <c r="M53" s="97">
        <f t="shared" si="36"/>
        <v>10</v>
      </c>
      <c r="N53" s="97">
        <f t="shared" si="36"/>
        <v>30</v>
      </c>
      <c r="O53" s="97">
        <f t="shared" si="36"/>
        <v>30</v>
      </c>
      <c r="P53" s="97">
        <f t="shared" si="36"/>
        <v>30</v>
      </c>
      <c r="Q53" s="97">
        <f t="shared" si="36"/>
        <v>70</v>
      </c>
      <c r="R53" s="97">
        <f t="shared" si="36"/>
        <v>80</v>
      </c>
      <c r="S53" s="97">
        <f t="shared" si="36"/>
        <v>70</v>
      </c>
      <c r="T53" s="97">
        <f t="shared" si="36"/>
        <v>60</v>
      </c>
      <c r="U53" s="97">
        <f t="shared" si="36"/>
        <v>270</v>
      </c>
      <c r="V53" s="97">
        <f t="shared" si="36"/>
        <v>80</v>
      </c>
      <c r="W53" s="97">
        <f t="shared" si="36"/>
        <v>80</v>
      </c>
      <c r="X53" s="97">
        <f t="shared" si="36"/>
        <v>130</v>
      </c>
      <c r="Y53" s="97">
        <f t="shared" si="36"/>
        <v>120</v>
      </c>
      <c r="Z53" s="97">
        <f t="shared" si="36"/>
        <v>165</v>
      </c>
      <c r="AA53" s="97">
        <f t="shared" si="36"/>
        <v>135</v>
      </c>
      <c r="AB53" s="97">
        <f t="shared" si="36"/>
        <v>195</v>
      </c>
      <c r="AC53" s="97">
        <f t="shared" si="36"/>
        <v>125</v>
      </c>
      <c r="AD53" s="97">
        <f t="shared" si="36"/>
        <v>195</v>
      </c>
      <c r="AE53" s="97">
        <f t="shared" si="36"/>
        <v>100</v>
      </c>
      <c r="AF53" s="98">
        <f t="shared" si="36"/>
        <v>100</v>
      </c>
      <c r="AG53" s="93">
        <f>SUM(AG46:AG49)</f>
        <v>400</v>
      </c>
      <c r="AH53" s="94">
        <f>SUM(AH46:AH49)</f>
        <v>2095</v>
      </c>
    </row>
    <row r="54" spans="2:44" ht="13.5" thickTop="1" x14ac:dyDescent="0.2">
      <c r="C54" s="89" t="s">
        <v>41</v>
      </c>
      <c r="I54" s="90">
        <f>I53</f>
        <v>0</v>
      </c>
      <c r="J54" s="90">
        <f>J53+I54</f>
        <v>0</v>
      </c>
      <c r="K54" s="90">
        <f t="shared" ref="K54:AF54" si="37">K53+J54</f>
        <v>10</v>
      </c>
      <c r="L54" s="90">
        <f t="shared" si="37"/>
        <v>20</v>
      </c>
      <c r="M54" s="90">
        <f t="shared" si="37"/>
        <v>30</v>
      </c>
      <c r="N54" s="90">
        <f t="shared" si="37"/>
        <v>60</v>
      </c>
      <c r="O54" s="90">
        <f t="shared" si="37"/>
        <v>90</v>
      </c>
      <c r="P54" s="90">
        <f t="shared" si="37"/>
        <v>120</v>
      </c>
      <c r="Q54" s="90">
        <f t="shared" si="37"/>
        <v>190</v>
      </c>
      <c r="R54" s="90">
        <f t="shared" si="37"/>
        <v>270</v>
      </c>
      <c r="S54" s="90">
        <f t="shared" si="37"/>
        <v>340</v>
      </c>
      <c r="T54" s="90">
        <f t="shared" si="37"/>
        <v>400</v>
      </c>
      <c r="U54" s="90">
        <f t="shared" si="37"/>
        <v>670</v>
      </c>
      <c r="V54" s="90">
        <f t="shared" si="37"/>
        <v>750</v>
      </c>
      <c r="W54" s="90">
        <f t="shared" si="37"/>
        <v>830</v>
      </c>
      <c r="X54" s="90">
        <f t="shared" si="37"/>
        <v>960</v>
      </c>
      <c r="Y54" s="90">
        <f t="shared" si="37"/>
        <v>1080</v>
      </c>
      <c r="Z54" s="90">
        <f t="shared" si="37"/>
        <v>1245</v>
      </c>
      <c r="AA54" s="90">
        <f t="shared" si="37"/>
        <v>1380</v>
      </c>
      <c r="AB54" s="90">
        <f t="shared" si="37"/>
        <v>1575</v>
      </c>
      <c r="AC54" s="90">
        <f t="shared" si="37"/>
        <v>1700</v>
      </c>
      <c r="AD54" s="90">
        <f t="shared" si="37"/>
        <v>1895</v>
      </c>
      <c r="AE54" s="90">
        <f t="shared" si="37"/>
        <v>1995</v>
      </c>
      <c r="AF54" s="96">
        <f t="shared" si="37"/>
        <v>2095</v>
      </c>
    </row>
    <row r="61" spans="2:44" x14ac:dyDescent="0.2">
      <c r="C61" s="158"/>
    </row>
  </sheetData>
  <mergeCells count="10">
    <mergeCell ref="B3:B6"/>
    <mergeCell ref="B7:B9"/>
    <mergeCell ref="B10:B12"/>
    <mergeCell ref="A16:C16"/>
    <mergeCell ref="A2:A13"/>
    <mergeCell ref="B46:B49"/>
    <mergeCell ref="B22:B24"/>
    <mergeCell ref="B30:B32"/>
    <mergeCell ref="B26:B28"/>
    <mergeCell ref="B17:B19"/>
  </mergeCells>
  <phoneticPr fontId="10" type="noConversion"/>
  <printOptions gridLines="1"/>
  <pageMargins left="0.75" right="0.75" top="1" bottom="1" header="0.5" footer="0.5"/>
  <pageSetup orientation="portrait"/>
  <headerFooter alignWithMargins="0">
    <oddHeader>&amp;F&amp;L&amp;"arial unicode ms,Regular"&amp;8 Theranos Confidential</oddHeader>
    <oddFooter>&amp;C&amp;D&amp;RPage &amp;P&amp;L&amp;"arial unicode ms,Regular"&amp;8 Theranos Confidential</oddFooter>
    <evenHeader>&amp;C&amp;F&amp;L&amp;"arial unicode ms,Regular"&amp;8 Theranos Confidential</evenHeader>
    <evenFooter>&amp;C&amp;D&amp;RPage &amp;P&amp;L&amp;"arial unicode ms,Regular"&amp;8 Theranos Confidential</evenFooter>
    <firstHeader>&amp;C&amp;F&amp;L&amp;"arial unicode ms,Regular"&amp;8 Theranos Confidential</firstHeader>
    <firstFooter>&amp;C&amp;D&amp;RPage &amp;P&amp;L&amp;"arial unicode ms,Regular"&amp;8 Theranos Confidential</firstFooter>
  </headerFooter>
  <colBreaks count="3" manualBreakCount="3">
    <brk id="4" max="1048575" man="1"/>
    <brk id="8" max="1048575" man="1"/>
    <brk id="15" max="1048575" man="1"/>
  </colBreak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4:Z53"/>
  <sheetViews>
    <sheetView zoomScale="110" zoomScaleNormal="110" zoomScalePageLayoutView="125" workbookViewId="0">
      <pane xSplit="2" ySplit="6" topLeftCell="C7" activePane="bottomRight" state="frozen"/>
      <selection pane="topRight" activeCell="C1" sqref="C1"/>
      <selection pane="bottomLeft" activeCell="A4" sqref="A4"/>
      <selection pane="bottomRight" activeCell="P21" sqref="P21"/>
    </sheetView>
  </sheetViews>
  <sheetFormatPr defaultColWidth="10.75" defaultRowHeight="12.75" outlineLevelCol="1" x14ac:dyDescent="0.2"/>
  <cols>
    <col min="1" max="1" width="9.375" style="100" customWidth="1"/>
    <col min="2" max="2" width="58" style="100" bestFit="1" customWidth="1"/>
    <col min="3" max="3" width="16.25" style="99" bestFit="1" customWidth="1"/>
    <col min="4" max="9" width="14.25" style="99" hidden="1" customWidth="1" outlineLevel="1"/>
    <col min="10" max="15" width="14.5" style="99" hidden="1" customWidth="1" outlineLevel="1"/>
    <col min="16" max="16" width="17.25" style="100" bestFit="1" customWidth="1" collapsed="1"/>
    <col min="17" max="17" width="19.125" style="100" bestFit="1" customWidth="1"/>
    <col min="18" max="18" width="10.75" style="100"/>
    <col min="19" max="19" width="10.75" style="100" hidden="1" customWidth="1"/>
    <col min="20" max="20" width="11" style="100" hidden="1" customWidth="1"/>
    <col min="21" max="22" width="10.75" style="100" hidden="1" customWidth="1"/>
    <col min="23" max="23" width="24.5" style="100" hidden="1" customWidth="1"/>
    <col min="24" max="26" width="10.75" style="100" hidden="1" customWidth="1"/>
    <col min="27" max="16384" width="10.75" style="100"/>
  </cols>
  <sheetData>
    <row r="4" spans="1:19" x14ac:dyDescent="0.2">
      <c r="A4" s="99" t="s">
        <v>91</v>
      </c>
    </row>
    <row r="5" spans="1:19" ht="13.5" thickBot="1" x14ac:dyDescent="0.25">
      <c r="C5" s="140"/>
      <c r="D5" s="140"/>
      <c r="E5" s="140"/>
      <c r="F5" s="140"/>
      <c r="G5" s="140"/>
      <c r="H5" s="140"/>
      <c r="I5" s="140"/>
      <c r="J5" s="140"/>
      <c r="K5" s="140"/>
      <c r="L5" s="140"/>
      <c r="M5" s="140"/>
      <c r="N5" s="140"/>
      <c r="O5" s="140"/>
      <c r="P5" s="135"/>
      <c r="Q5" s="135"/>
    </row>
    <row r="6" spans="1:19" ht="13.5" thickBot="1" x14ac:dyDescent="0.25">
      <c r="B6" s="101" t="s">
        <v>45</v>
      </c>
      <c r="C6" s="141">
        <v>40177</v>
      </c>
      <c r="D6" s="160">
        <v>40208</v>
      </c>
      <c r="E6" s="160">
        <v>40236</v>
      </c>
      <c r="F6" s="160">
        <v>40267</v>
      </c>
      <c r="G6" s="160">
        <v>40297</v>
      </c>
      <c r="H6" s="160">
        <v>40328</v>
      </c>
      <c r="I6" s="160">
        <v>40358</v>
      </c>
      <c r="J6" s="160">
        <v>40389</v>
      </c>
      <c r="K6" s="160">
        <v>40420</v>
      </c>
      <c r="L6" s="160">
        <v>40450</v>
      </c>
      <c r="M6" s="160">
        <v>40481</v>
      </c>
      <c r="N6" s="160">
        <v>40511</v>
      </c>
      <c r="O6" s="160">
        <v>40542</v>
      </c>
      <c r="P6" s="141">
        <v>40542</v>
      </c>
      <c r="Q6" s="141">
        <v>40907</v>
      </c>
    </row>
    <row r="7" spans="1:19" x14ac:dyDescent="0.2">
      <c r="A7" s="99"/>
      <c r="C7" s="102"/>
      <c r="D7" s="159"/>
      <c r="E7" s="159"/>
      <c r="F7" s="159"/>
      <c r="G7" s="159"/>
      <c r="H7" s="159"/>
      <c r="I7" s="159"/>
      <c r="J7" s="159"/>
      <c r="K7" s="159"/>
      <c r="L7" s="159"/>
      <c r="M7" s="159"/>
      <c r="N7" s="159"/>
      <c r="O7" s="159"/>
      <c r="P7" s="136"/>
      <c r="Q7" s="136"/>
    </row>
    <row r="8" spans="1:19" x14ac:dyDescent="0.2">
      <c r="A8" s="99"/>
      <c r="B8" s="183" t="s">
        <v>117</v>
      </c>
      <c r="C8" s="184" t="s">
        <v>115</v>
      </c>
      <c r="D8" s="185" t="s">
        <v>116</v>
      </c>
      <c r="E8" s="186"/>
      <c r="F8" s="185" t="s">
        <v>118</v>
      </c>
      <c r="G8" s="186"/>
      <c r="H8" s="186"/>
      <c r="I8" s="186"/>
      <c r="J8" s="186"/>
      <c r="K8" s="186"/>
      <c r="L8" s="186"/>
      <c r="M8" s="186"/>
      <c r="N8" s="186"/>
      <c r="O8" s="186"/>
      <c r="P8" s="185" t="s">
        <v>116</v>
      </c>
      <c r="Q8" s="185" t="s">
        <v>118</v>
      </c>
    </row>
    <row r="9" spans="1:19" x14ac:dyDescent="0.2">
      <c r="A9" s="99"/>
      <c r="C9" s="102"/>
      <c r="D9" s="159"/>
      <c r="E9" s="159"/>
      <c r="F9" s="159"/>
      <c r="G9" s="159"/>
      <c r="H9" s="159"/>
      <c r="I9" s="159"/>
      <c r="J9" s="159"/>
      <c r="K9" s="159"/>
      <c r="L9" s="159"/>
      <c r="M9" s="159"/>
      <c r="N9" s="159"/>
      <c r="O9" s="159"/>
      <c r="P9" s="136"/>
      <c r="Q9" s="136"/>
    </row>
    <row r="10" spans="1:19" x14ac:dyDescent="0.2">
      <c r="A10" s="99"/>
      <c r="C10" s="102"/>
      <c r="D10" s="159"/>
      <c r="E10" s="159"/>
      <c r="F10" s="159"/>
      <c r="G10" s="159"/>
      <c r="H10" s="159"/>
      <c r="I10" s="159"/>
      <c r="J10" s="159"/>
      <c r="K10" s="159"/>
      <c r="L10" s="159"/>
      <c r="M10" s="159"/>
      <c r="N10" s="159"/>
      <c r="O10" s="159"/>
      <c r="P10" s="136"/>
      <c r="Q10" s="136"/>
    </row>
    <row r="11" spans="1:19" x14ac:dyDescent="0.2">
      <c r="A11" s="99" t="s">
        <v>92</v>
      </c>
      <c r="C11" s="102"/>
      <c r="D11" s="102"/>
      <c r="E11" s="102"/>
      <c r="F11" s="102"/>
      <c r="G11" s="102"/>
      <c r="H11" s="102"/>
      <c r="I11" s="102"/>
      <c r="J11" s="102"/>
      <c r="K11" s="102"/>
      <c r="L11" s="102"/>
      <c r="M11" s="102"/>
      <c r="N11" s="102"/>
      <c r="O11" s="102"/>
      <c r="P11" s="136"/>
      <c r="Q11" s="136"/>
    </row>
    <row r="12" spans="1:19" x14ac:dyDescent="0.2">
      <c r="B12" s="178" t="s">
        <v>106</v>
      </c>
      <c r="C12" s="104">
        <v>25000000</v>
      </c>
      <c r="D12" s="104">
        <f>'Theranos Market Assumptions'!I19</f>
        <v>115500</v>
      </c>
      <c r="E12" s="104">
        <f>'Theranos Market Assumptions'!J19</f>
        <v>441000</v>
      </c>
      <c r="F12" s="104">
        <f>'Theranos Market Assumptions'!K19</f>
        <v>441000</v>
      </c>
      <c r="G12" s="104">
        <f>'Theranos Market Assumptions'!L19</f>
        <v>840000</v>
      </c>
      <c r="H12" s="104">
        <f>'Theranos Market Assumptions'!M19</f>
        <v>1260000</v>
      </c>
      <c r="I12" s="104">
        <f>'Theranos Market Assumptions'!N19</f>
        <v>2835000</v>
      </c>
      <c r="J12" s="104">
        <f>'Theranos Market Assumptions'!O19</f>
        <v>4515000</v>
      </c>
      <c r="K12" s="104">
        <f>'Theranos Market Assumptions'!P19</f>
        <v>7140000</v>
      </c>
      <c r="L12" s="104">
        <f>'Theranos Market Assumptions'!Q19</f>
        <v>12390000</v>
      </c>
      <c r="M12" s="104">
        <f>'Theranos Market Assumptions'!R19</f>
        <v>21000000</v>
      </c>
      <c r="N12" s="104">
        <f>'Theranos Market Assumptions'!S19</f>
        <v>26250000</v>
      </c>
      <c r="O12" s="104">
        <f>'Theranos Market Assumptions'!T19</f>
        <v>31500000</v>
      </c>
      <c r="P12" s="137">
        <f>ROUND(SUM(D12:O12),-6)</f>
        <v>109000000</v>
      </c>
      <c r="Q12" s="137">
        <f>ROUND('Theranos Market Assumptions'!AH19,-7)</f>
        <v>750000000</v>
      </c>
      <c r="S12" s="173"/>
    </row>
    <row r="13" spans="1:19" x14ac:dyDescent="0.2">
      <c r="B13" s="103" t="s">
        <v>62</v>
      </c>
      <c r="C13" s="134">
        <v>0</v>
      </c>
      <c r="D13" s="134">
        <f>'Theranos Market Assumptions'!I24</f>
        <v>0</v>
      </c>
      <c r="E13" s="134">
        <f>'Theranos Market Assumptions'!J24</f>
        <v>0</v>
      </c>
      <c r="F13" s="134">
        <f>'Theranos Market Assumptions'!K24</f>
        <v>616000</v>
      </c>
      <c r="G13" s="134">
        <f>'Theranos Market Assumptions'!L24</f>
        <v>924000</v>
      </c>
      <c r="H13" s="134">
        <f>'Theranos Market Assumptions'!M24</f>
        <v>1540000</v>
      </c>
      <c r="I13" s="134">
        <f>'Theranos Market Assumptions'!N24</f>
        <v>3080000</v>
      </c>
      <c r="J13" s="134">
        <f>'Theranos Market Assumptions'!O24</f>
        <v>4620000</v>
      </c>
      <c r="K13" s="134">
        <f>'Theranos Market Assumptions'!P24</f>
        <v>6160000</v>
      </c>
      <c r="L13" s="134">
        <f>'Theranos Market Assumptions'!Q24</f>
        <v>9240000</v>
      </c>
      <c r="M13" s="134">
        <f>'Theranos Market Assumptions'!R24</f>
        <v>12320000</v>
      </c>
      <c r="N13" s="134">
        <f>'Theranos Market Assumptions'!S24</f>
        <v>15400000</v>
      </c>
      <c r="O13" s="134">
        <f>'Theranos Market Assumptions'!T24</f>
        <v>18480000</v>
      </c>
      <c r="P13" s="137">
        <f>ROUND(SUM(D13:O13),-6)</f>
        <v>72000000</v>
      </c>
      <c r="Q13" s="137">
        <f>ROUND('Theranos Market Assumptions'!AH24,-6)</f>
        <v>342000000</v>
      </c>
    </row>
    <row r="14" spans="1:19" x14ac:dyDescent="0.2">
      <c r="B14" s="103" t="s">
        <v>63</v>
      </c>
      <c r="C14" s="104">
        <v>0</v>
      </c>
      <c r="D14" s="104">
        <f>'Theranos Market Assumptions'!I28</f>
        <v>0</v>
      </c>
      <c r="E14" s="104">
        <f>'Theranos Market Assumptions'!J28</f>
        <v>0</v>
      </c>
      <c r="F14" s="104">
        <f>'Theranos Market Assumptions'!K28</f>
        <v>0</v>
      </c>
      <c r="G14" s="104">
        <f>'Theranos Market Assumptions'!L28</f>
        <v>625000</v>
      </c>
      <c r="H14" s="104">
        <f>'Theranos Market Assumptions'!M28</f>
        <v>1250000</v>
      </c>
      <c r="I14" s="104">
        <f>'Theranos Market Assumptions'!N28</f>
        <v>3125000</v>
      </c>
      <c r="J14" s="104">
        <f>'Theranos Market Assumptions'!O28</f>
        <v>4375000</v>
      </c>
      <c r="K14" s="104">
        <f>'Theranos Market Assumptions'!P28</f>
        <v>5625000</v>
      </c>
      <c r="L14" s="104">
        <f>'Theranos Market Assumptions'!Q28</f>
        <v>6875000</v>
      </c>
      <c r="M14" s="104">
        <f>'Theranos Market Assumptions'!R28</f>
        <v>8125000</v>
      </c>
      <c r="N14" s="104">
        <f>'Theranos Market Assumptions'!S28</f>
        <v>9375000</v>
      </c>
      <c r="O14" s="104">
        <f>'Theranos Market Assumptions'!T28</f>
        <v>10625000</v>
      </c>
      <c r="P14" s="137">
        <f>ROUND(SUM(D14:O14),-6)</f>
        <v>50000000</v>
      </c>
      <c r="Q14" s="137">
        <f>ROUND('Theranos Market Assumptions'!AH28,-6)</f>
        <v>225000000</v>
      </c>
    </row>
    <row r="15" spans="1:19" x14ac:dyDescent="0.2">
      <c r="B15" s="103" t="s">
        <v>64</v>
      </c>
      <c r="C15" s="104">
        <v>0</v>
      </c>
      <c r="D15" s="104">
        <f>'Theranos Market Assumptions'!I32</f>
        <v>0</v>
      </c>
      <c r="E15" s="104">
        <f>'Theranos Market Assumptions'!J32</f>
        <v>0</v>
      </c>
      <c r="F15" s="104">
        <f>'Theranos Market Assumptions'!K32</f>
        <v>0</v>
      </c>
      <c r="G15" s="104">
        <f>'Theranos Market Assumptions'!L32</f>
        <v>0</v>
      </c>
      <c r="H15" s="104">
        <f>'Theranos Market Assumptions'!M32</f>
        <v>0</v>
      </c>
      <c r="I15" s="104">
        <f>'Theranos Market Assumptions'!N32</f>
        <v>0</v>
      </c>
      <c r="J15" s="104">
        <f>'Theranos Market Assumptions'!O32</f>
        <v>0</v>
      </c>
      <c r="K15" s="104">
        <f>'Theranos Market Assumptions'!P32</f>
        <v>0</v>
      </c>
      <c r="L15" s="104">
        <f>'Theranos Market Assumptions'!Q32</f>
        <v>0</v>
      </c>
      <c r="M15" s="104">
        <f>'Theranos Market Assumptions'!R32</f>
        <v>0</v>
      </c>
      <c r="N15" s="104">
        <f>'Theranos Market Assumptions'!S32</f>
        <v>0</v>
      </c>
      <c r="O15" s="104">
        <f>'Theranos Market Assumptions'!T32</f>
        <v>0</v>
      </c>
      <c r="P15" s="137">
        <f>ROUND(SUM(D15:O15),-6)</f>
        <v>0</v>
      </c>
      <c r="Q15" s="137">
        <f>ROUND('Theranos Market Assumptions'!AH32,-6)</f>
        <v>240000000</v>
      </c>
    </row>
    <row r="16" spans="1:19" x14ac:dyDescent="0.2">
      <c r="B16" s="100" t="s">
        <v>46</v>
      </c>
      <c r="C16" s="104">
        <v>0</v>
      </c>
      <c r="D16" s="104">
        <v>0</v>
      </c>
      <c r="E16" s="104">
        <v>0</v>
      </c>
      <c r="F16" s="104">
        <v>0</v>
      </c>
      <c r="G16" s="104">
        <v>0</v>
      </c>
      <c r="H16" s="104">
        <v>0</v>
      </c>
      <c r="I16" s="104">
        <v>0</v>
      </c>
      <c r="J16" s="104">
        <v>0</v>
      </c>
      <c r="K16" s="104">
        <v>0</v>
      </c>
      <c r="L16" s="104">
        <v>0</v>
      </c>
      <c r="M16" s="104">
        <v>10000000</v>
      </c>
      <c r="N16" s="104">
        <v>10000000</v>
      </c>
      <c r="O16" s="104">
        <v>10000000</v>
      </c>
      <c r="P16" s="137">
        <f>SUM(M16:O16)</f>
        <v>30000000</v>
      </c>
      <c r="Q16" s="137">
        <v>120000000</v>
      </c>
    </row>
    <row r="17" spans="2:21" x14ac:dyDescent="0.2">
      <c r="B17" s="103" t="s">
        <v>37</v>
      </c>
      <c r="C17" s="104">
        <v>0</v>
      </c>
      <c r="D17" s="134" t="s">
        <v>39</v>
      </c>
      <c r="E17" s="134" t="s">
        <v>39</v>
      </c>
      <c r="F17" s="134" t="s">
        <v>39</v>
      </c>
      <c r="G17" s="134" t="s">
        <v>39</v>
      </c>
      <c r="H17" s="134" t="s">
        <v>39</v>
      </c>
      <c r="I17" s="134" t="s">
        <v>39</v>
      </c>
      <c r="J17" s="134" t="s">
        <v>39</v>
      </c>
      <c r="K17" s="134" t="s">
        <v>39</v>
      </c>
      <c r="L17" s="134" t="s">
        <v>39</v>
      </c>
      <c r="M17" s="134" t="s">
        <v>39</v>
      </c>
      <c r="N17" s="134" t="s">
        <v>39</v>
      </c>
      <c r="O17" s="134" t="s">
        <v>39</v>
      </c>
      <c r="P17" s="138" t="s">
        <v>39</v>
      </c>
      <c r="Q17" s="138" t="s">
        <v>39</v>
      </c>
    </row>
    <row r="18" spans="2:21" x14ac:dyDescent="0.2">
      <c r="B18" s="103"/>
      <c r="C18" s="104"/>
      <c r="D18" s="104"/>
      <c r="E18" s="104"/>
      <c r="F18" s="104"/>
      <c r="G18" s="104"/>
      <c r="H18" s="104"/>
      <c r="I18" s="104"/>
      <c r="J18" s="104"/>
      <c r="K18" s="104"/>
      <c r="L18" s="104"/>
      <c r="M18" s="104"/>
      <c r="N18" s="104"/>
      <c r="O18" s="104"/>
      <c r="P18" s="137"/>
      <c r="Q18" s="137"/>
    </row>
    <row r="19" spans="2:21" ht="13.5" thickBot="1" x14ac:dyDescent="0.25">
      <c r="B19" s="105"/>
      <c r="C19" s="106"/>
      <c r="D19" s="106"/>
      <c r="E19" s="106"/>
      <c r="F19" s="106"/>
      <c r="G19" s="106"/>
      <c r="H19" s="106"/>
      <c r="I19" s="106"/>
      <c r="J19" s="106"/>
      <c r="K19" s="106"/>
      <c r="L19" s="106"/>
      <c r="M19" s="106"/>
      <c r="N19" s="106"/>
      <c r="O19" s="106"/>
      <c r="P19" s="106"/>
      <c r="Q19" s="106"/>
    </row>
    <row r="20" spans="2:21" s="107" customFormat="1" ht="15.75" thickTop="1" x14ac:dyDescent="0.2">
      <c r="B20" s="108" t="s">
        <v>47</v>
      </c>
      <c r="C20" s="177">
        <f>SUM(C12:C18)</f>
        <v>25000000</v>
      </c>
      <c r="D20" s="137">
        <f t="shared" ref="D20:P20" si="0">SUM(D12:D18)</f>
        <v>115500</v>
      </c>
      <c r="E20" s="137">
        <f t="shared" si="0"/>
        <v>441000</v>
      </c>
      <c r="F20" s="137">
        <f t="shared" si="0"/>
        <v>1057000</v>
      </c>
      <c r="G20" s="137">
        <f t="shared" si="0"/>
        <v>2389000</v>
      </c>
      <c r="H20" s="137">
        <f t="shared" si="0"/>
        <v>4050000</v>
      </c>
      <c r="I20" s="137">
        <f t="shared" si="0"/>
        <v>9040000</v>
      </c>
      <c r="J20" s="137">
        <f t="shared" si="0"/>
        <v>13510000</v>
      </c>
      <c r="K20" s="137">
        <f t="shared" si="0"/>
        <v>18925000</v>
      </c>
      <c r="L20" s="137">
        <f t="shared" si="0"/>
        <v>28505000</v>
      </c>
      <c r="M20" s="137">
        <f t="shared" si="0"/>
        <v>51445000</v>
      </c>
      <c r="N20" s="137">
        <f t="shared" si="0"/>
        <v>61025000</v>
      </c>
      <c r="O20" s="137">
        <f t="shared" si="0"/>
        <v>70605000</v>
      </c>
      <c r="P20" s="139">
        <f t="shared" si="0"/>
        <v>261000000</v>
      </c>
      <c r="Q20" s="139">
        <f>ROUND(SUM(Q12:Q18),-7)</f>
        <v>1680000000</v>
      </c>
    </row>
    <row r="21" spans="2:21" x14ac:dyDescent="0.2">
      <c r="B21" s="116" t="s">
        <v>94</v>
      </c>
      <c r="C21" s="104"/>
      <c r="D21" s="104"/>
      <c r="E21" s="104"/>
      <c r="F21" s="104"/>
      <c r="G21" s="104"/>
      <c r="H21" s="104"/>
      <c r="I21" s="104"/>
      <c r="J21" s="104"/>
      <c r="K21" s="104"/>
      <c r="L21" s="104"/>
      <c r="M21" s="104"/>
      <c r="N21" s="104"/>
      <c r="O21" s="104"/>
      <c r="P21" s="104"/>
      <c r="Q21" s="104"/>
      <c r="S21" s="188" t="s">
        <v>114</v>
      </c>
      <c r="T21" s="155">
        <v>2014</v>
      </c>
      <c r="U21" s="155">
        <v>2015</v>
      </c>
    </row>
    <row r="22" spans="2:21" x14ac:dyDescent="0.2">
      <c r="B22" s="153" t="s">
        <v>95</v>
      </c>
      <c r="C22" s="104">
        <v>0</v>
      </c>
      <c r="D22" s="104">
        <f>D12*'Proforma IncomeStmt'!$T22</f>
        <v>57750</v>
      </c>
      <c r="E22" s="104">
        <f>E12*'Proforma IncomeStmt'!$T$22</f>
        <v>220500</v>
      </c>
      <c r="F22" s="104">
        <f>F12*'Proforma IncomeStmt'!$T$22</f>
        <v>220500</v>
      </c>
      <c r="G22" s="104">
        <f>G12*'Proforma IncomeStmt'!$T$22</f>
        <v>420000</v>
      </c>
      <c r="H22" s="104">
        <f>H12*'Proforma IncomeStmt'!$T$22</f>
        <v>630000</v>
      </c>
      <c r="I22" s="104">
        <f>I12*'Proforma IncomeStmt'!$T$22</f>
        <v>1417500</v>
      </c>
      <c r="J22" s="104">
        <f>J12*'Proforma IncomeStmt'!$T$22</f>
        <v>2257500</v>
      </c>
      <c r="K22" s="104">
        <f>K12*'Proforma IncomeStmt'!$T$22</f>
        <v>3570000</v>
      </c>
      <c r="L22" s="104">
        <f>L12*'Proforma IncomeStmt'!$T$22</f>
        <v>6195000</v>
      </c>
      <c r="M22" s="104">
        <f>M12*'Proforma IncomeStmt'!$T$22</f>
        <v>10500000</v>
      </c>
      <c r="N22" s="104">
        <f>N12*'Proforma IncomeStmt'!$T$22</f>
        <v>13125000</v>
      </c>
      <c r="O22" s="104">
        <f>O12*'Proforma IncomeStmt'!$T$22</f>
        <v>15750000</v>
      </c>
      <c r="P22" s="137">
        <f>ROUND(SUM(D22:O22),-6)</f>
        <v>54000000</v>
      </c>
      <c r="Q22" s="104">
        <f>ROUND(Q12*'Proforma IncomeStmt'!U22,-6)</f>
        <v>338000000</v>
      </c>
      <c r="S22" s="153" t="s">
        <v>95</v>
      </c>
      <c r="T22" s="154">
        <v>0.5</v>
      </c>
      <c r="U22" s="154">
        <v>0.45</v>
      </c>
    </row>
    <row r="23" spans="2:21" x14ac:dyDescent="0.2">
      <c r="B23" s="153" t="s">
        <v>96</v>
      </c>
      <c r="C23" s="104">
        <v>0</v>
      </c>
      <c r="D23" s="104">
        <f>D13*'Proforma IncomeStmt'!$T23</f>
        <v>0</v>
      </c>
      <c r="E23" s="104">
        <f>E13*'Proforma IncomeStmt'!$T23</f>
        <v>0</v>
      </c>
      <c r="F23" s="104">
        <f>F13*'Proforma IncomeStmt'!$T23</f>
        <v>184800</v>
      </c>
      <c r="G23" s="104">
        <f>G13*'Proforma IncomeStmt'!$T23</f>
        <v>277200</v>
      </c>
      <c r="H23" s="104">
        <f>H13*'Proforma IncomeStmt'!$T23</f>
        <v>462000</v>
      </c>
      <c r="I23" s="104">
        <f>I13*'Proforma IncomeStmt'!$T23</f>
        <v>924000</v>
      </c>
      <c r="J23" s="104">
        <f>J13*'Proforma IncomeStmt'!$T23</f>
        <v>1386000</v>
      </c>
      <c r="K23" s="104">
        <f>K13*'Proforma IncomeStmt'!$T23</f>
        <v>1848000</v>
      </c>
      <c r="L23" s="104">
        <f>L13*'Proforma IncomeStmt'!$T23</f>
        <v>2772000</v>
      </c>
      <c r="M23" s="104">
        <f>M13*'Proforma IncomeStmt'!$T23</f>
        <v>3696000</v>
      </c>
      <c r="N23" s="104">
        <f>N13*'Proforma IncomeStmt'!$T23</f>
        <v>4620000</v>
      </c>
      <c r="O23" s="104">
        <f>O13*'Proforma IncomeStmt'!$T23</f>
        <v>5544000</v>
      </c>
      <c r="P23" s="137">
        <f>ROUND(SUM(D23:O23),-6)</f>
        <v>22000000</v>
      </c>
      <c r="Q23" s="104">
        <f>ROUND(Q13*'Proforma IncomeStmt'!U23,-6)</f>
        <v>103000000</v>
      </c>
      <c r="S23" s="153" t="s">
        <v>96</v>
      </c>
      <c r="T23" s="154">
        <v>0.3</v>
      </c>
      <c r="U23" s="154">
        <v>0.3</v>
      </c>
    </row>
    <row r="24" spans="2:21" x14ac:dyDescent="0.2">
      <c r="B24" s="153" t="s">
        <v>97</v>
      </c>
      <c r="C24" s="104">
        <v>0</v>
      </c>
      <c r="D24" s="104">
        <f>D14*'Proforma IncomeStmt'!$T24</f>
        <v>0</v>
      </c>
      <c r="E24" s="104">
        <f>E14*'Proforma IncomeStmt'!$T24</f>
        <v>0</v>
      </c>
      <c r="F24" s="104">
        <f>F14*'Proforma IncomeStmt'!$T24</f>
        <v>0</v>
      </c>
      <c r="G24" s="104">
        <f>G14*'Proforma IncomeStmt'!$T24</f>
        <v>187500</v>
      </c>
      <c r="H24" s="104">
        <f>H14*'Proforma IncomeStmt'!$T24</f>
        <v>375000</v>
      </c>
      <c r="I24" s="104">
        <f>I14*'Proforma IncomeStmt'!$T24</f>
        <v>937500</v>
      </c>
      <c r="J24" s="104">
        <f>J14*'Proforma IncomeStmt'!$T24</f>
        <v>1312500</v>
      </c>
      <c r="K24" s="104">
        <f>K14*'Proforma IncomeStmt'!$T24</f>
        <v>1687500</v>
      </c>
      <c r="L24" s="104">
        <f>L14*'Proforma IncomeStmt'!$T24</f>
        <v>2062500</v>
      </c>
      <c r="M24" s="104">
        <f>M14*'Proforma IncomeStmt'!$T24</f>
        <v>2437500</v>
      </c>
      <c r="N24" s="104">
        <f>N14*'Proforma IncomeStmt'!$T24</f>
        <v>2812500</v>
      </c>
      <c r="O24" s="104">
        <f>O14*'Proforma IncomeStmt'!$T24</f>
        <v>3187500</v>
      </c>
      <c r="P24" s="137">
        <f>ROUND(SUM(D24:O24),-6)</f>
        <v>15000000</v>
      </c>
      <c r="Q24" s="104">
        <f>ROUND(Q14*'Proforma IncomeStmt'!U24,-6)</f>
        <v>68000000</v>
      </c>
      <c r="S24" s="153" t="s">
        <v>97</v>
      </c>
      <c r="T24" s="154">
        <v>0.3</v>
      </c>
      <c r="U24" s="154">
        <v>0.3</v>
      </c>
    </row>
    <row r="25" spans="2:21" x14ac:dyDescent="0.2">
      <c r="B25" s="153" t="s">
        <v>98</v>
      </c>
      <c r="C25" s="104">
        <v>0</v>
      </c>
      <c r="D25" s="104">
        <f>D15*'Proforma IncomeStmt'!$T25</f>
        <v>0</v>
      </c>
      <c r="E25" s="104">
        <f>E15*'Proforma IncomeStmt'!$T25</f>
        <v>0</v>
      </c>
      <c r="F25" s="104">
        <f>F15*'Proforma IncomeStmt'!$T25</f>
        <v>0</v>
      </c>
      <c r="G25" s="104">
        <f>G15*'Proforma IncomeStmt'!$T25</f>
        <v>0</v>
      </c>
      <c r="H25" s="104">
        <f>H15*'Proforma IncomeStmt'!$T25</f>
        <v>0</v>
      </c>
      <c r="I25" s="104">
        <f>I15*'Proforma IncomeStmt'!$T25</f>
        <v>0</v>
      </c>
      <c r="J25" s="104">
        <f>J15*'Proforma IncomeStmt'!$T25</f>
        <v>0</v>
      </c>
      <c r="K25" s="104">
        <f>K15*'Proforma IncomeStmt'!$T25</f>
        <v>0</v>
      </c>
      <c r="L25" s="104">
        <f>L15*'Proforma IncomeStmt'!$T25</f>
        <v>0</v>
      </c>
      <c r="M25" s="104">
        <f>M15*'Proforma IncomeStmt'!$T25</f>
        <v>0</v>
      </c>
      <c r="N25" s="104">
        <f>N15*'Proforma IncomeStmt'!$T25</f>
        <v>0</v>
      </c>
      <c r="O25" s="104">
        <f>O15*'Proforma IncomeStmt'!$T25</f>
        <v>0</v>
      </c>
      <c r="P25" s="137">
        <f>ROUND(SUM(D25:O25),-6)</f>
        <v>0</v>
      </c>
      <c r="Q25" s="104">
        <f>ROUND(Q15*'Proforma IncomeStmt'!U25,-6)</f>
        <v>72000000</v>
      </c>
      <c r="S25" s="153" t="s">
        <v>98</v>
      </c>
      <c r="T25" s="154">
        <v>0.3</v>
      </c>
      <c r="U25" s="154">
        <v>0.3</v>
      </c>
    </row>
    <row r="26" spans="2:21" x14ac:dyDescent="0.2">
      <c r="B26" s="153" t="s">
        <v>99</v>
      </c>
      <c r="C26" s="104">
        <v>0</v>
      </c>
      <c r="D26" s="104">
        <f>D16*'Proforma IncomeStmt'!$T26</f>
        <v>0</v>
      </c>
      <c r="E26" s="104">
        <f>E16*'Proforma IncomeStmt'!$T26</f>
        <v>0</v>
      </c>
      <c r="F26" s="104">
        <f>F16*'Proforma IncomeStmt'!$T26</f>
        <v>0</v>
      </c>
      <c r="G26" s="104">
        <f>G16*'Proforma IncomeStmt'!$T26</f>
        <v>0</v>
      </c>
      <c r="H26" s="104">
        <f>H16*'Proforma IncomeStmt'!$T26</f>
        <v>0</v>
      </c>
      <c r="I26" s="104">
        <f>I16*'Proforma IncomeStmt'!$T26</f>
        <v>0</v>
      </c>
      <c r="J26" s="104">
        <f>J16*'Proforma IncomeStmt'!$T26</f>
        <v>0</v>
      </c>
      <c r="K26" s="104">
        <f>K16*'Proforma IncomeStmt'!$T26</f>
        <v>0</v>
      </c>
      <c r="L26" s="104">
        <f>L16*'Proforma IncomeStmt'!$T26</f>
        <v>0</v>
      </c>
      <c r="M26" s="104">
        <f>M16*'Proforma IncomeStmt'!$T26</f>
        <v>1500000</v>
      </c>
      <c r="N26" s="104">
        <f>N16*'Proforma IncomeStmt'!$T26</f>
        <v>1500000</v>
      </c>
      <c r="O26" s="104">
        <f>O16*'Proforma IncomeStmt'!$T26</f>
        <v>1500000</v>
      </c>
      <c r="P26" s="137">
        <f>ROUND(SUM(D26:O26),-6)</f>
        <v>5000000</v>
      </c>
      <c r="Q26" s="104">
        <f>ROUND(Q16*'Proforma IncomeStmt'!U26,-6)</f>
        <v>18000000</v>
      </c>
      <c r="S26" s="153" t="s">
        <v>99</v>
      </c>
      <c r="T26" s="154">
        <v>0.15</v>
      </c>
      <c r="U26" s="154">
        <v>0.15</v>
      </c>
    </row>
    <row r="27" spans="2:21" x14ac:dyDescent="0.2">
      <c r="B27" s="153" t="s">
        <v>37</v>
      </c>
      <c r="C27" s="104">
        <v>0</v>
      </c>
      <c r="D27" s="134" t="s">
        <v>39</v>
      </c>
      <c r="E27" s="134" t="s">
        <v>39</v>
      </c>
      <c r="F27" s="134" t="s">
        <v>39</v>
      </c>
      <c r="G27" s="134" t="s">
        <v>39</v>
      </c>
      <c r="H27" s="134" t="s">
        <v>39</v>
      </c>
      <c r="I27" s="134" t="s">
        <v>39</v>
      </c>
      <c r="J27" s="134" t="s">
        <v>39</v>
      </c>
      <c r="K27" s="134" t="s">
        <v>39</v>
      </c>
      <c r="L27" s="134" t="s">
        <v>39</v>
      </c>
      <c r="M27" s="134" t="s">
        <v>39</v>
      </c>
      <c r="N27" s="134" t="s">
        <v>39</v>
      </c>
      <c r="O27" s="134" t="s">
        <v>39</v>
      </c>
      <c r="P27" s="138" t="s">
        <v>39</v>
      </c>
      <c r="Q27" s="138" t="s">
        <v>39</v>
      </c>
    </row>
    <row r="28" spans="2:21" x14ac:dyDescent="0.2">
      <c r="B28" s="152" t="s">
        <v>100</v>
      </c>
      <c r="C28" s="157">
        <f>SUM(C22:C27)</f>
        <v>0</v>
      </c>
      <c r="D28" s="157">
        <f>SUM(D22:D27)</f>
        <v>57750</v>
      </c>
      <c r="E28" s="157">
        <f t="shared" ref="E28:O28" si="1">SUM(E22:E27)</f>
        <v>220500</v>
      </c>
      <c r="F28" s="157">
        <f t="shared" si="1"/>
        <v>405300</v>
      </c>
      <c r="G28" s="157">
        <f t="shared" si="1"/>
        <v>884700</v>
      </c>
      <c r="H28" s="157">
        <f t="shared" si="1"/>
        <v>1467000</v>
      </c>
      <c r="I28" s="157">
        <f t="shared" si="1"/>
        <v>3279000</v>
      </c>
      <c r="J28" s="157">
        <f t="shared" si="1"/>
        <v>4956000</v>
      </c>
      <c r="K28" s="157">
        <f t="shared" si="1"/>
        <v>7105500</v>
      </c>
      <c r="L28" s="157">
        <f t="shared" si="1"/>
        <v>11029500</v>
      </c>
      <c r="M28" s="157">
        <f t="shared" si="1"/>
        <v>18133500</v>
      </c>
      <c r="N28" s="157">
        <f t="shared" si="1"/>
        <v>22057500</v>
      </c>
      <c r="O28" s="157">
        <f t="shared" si="1"/>
        <v>25981500</v>
      </c>
      <c r="P28" s="157">
        <f>SUM(P22:P27)</f>
        <v>96000000</v>
      </c>
      <c r="Q28" s="157">
        <f>SUM(Q22:Q27)</f>
        <v>599000000</v>
      </c>
      <c r="T28" s="173"/>
      <c r="U28" s="173"/>
    </row>
    <row r="29" spans="2:21" x14ac:dyDescent="0.2">
      <c r="B29" s="116"/>
      <c r="C29" s="162"/>
      <c r="D29" s="104"/>
      <c r="E29" s="104"/>
      <c r="F29" s="104"/>
      <c r="G29" s="104"/>
      <c r="H29" s="104"/>
      <c r="I29" s="104"/>
      <c r="J29" s="104"/>
      <c r="K29" s="104"/>
      <c r="L29" s="104"/>
      <c r="M29" s="104"/>
      <c r="N29" s="104"/>
      <c r="O29" s="104"/>
      <c r="P29" s="104"/>
      <c r="Q29" s="104"/>
    </row>
    <row r="30" spans="2:21" x14ac:dyDescent="0.2">
      <c r="B30" s="116"/>
      <c r="C30" s="104"/>
      <c r="D30" s="104"/>
      <c r="E30" s="104"/>
      <c r="F30" s="104"/>
      <c r="G30" s="104"/>
      <c r="H30" s="104"/>
      <c r="I30" s="104"/>
      <c r="J30" s="104"/>
      <c r="K30" s="104"/>
      <c r="L30" s="104"/>
      <c r="M30" s="104"/>
      <c r="N30" s="104"/>
      <c r="O30" s="104"/>
      <c r="P30" s="104"/>
      <c r="Q30" s="104"/>
    </row>
    <row r="31" spans="2:21" ht="13.5" thickBot="1" x14ac:dyDescent="0.25">
      <c r="B31" s="131" t="s">
        <v>48</v>
      </c>
      <c r="C31" s="132">
        <f t="shared" ref="C31:Q31" si="2">C20-C28</f>
        <v>25000000</v>
      </c>
      <c r="D31" s="161">
        <f t="shared" si="2"/>
        <v>57750</v>
      </c>
      <c r="E31" s="161">
        <f t="shared" si="2"/>
        <v>220500</v>
      </c>
      <c r="F31" s="161">
        <f t="shared" si="2"/>
        <v>651700</v>
      </c>
      <c r="G31" s="161">
        <f t="shared" si="2"/>
        <v>1504300</v>
      </c>
      <c r="H31" s="161">
        <f t="shared" si="2"/>
        <v>2583000</v>
      </c>
      <c r="I31" s="161">
        <f t="shared" si="2"/>
        <v>5761000</v>
      </c>
      <c r="J31" s="161">
        <f t="shared" si="2"/>
        <v>8554000</v>
      </c>
      <c r="K31" s="161">
        <f t="shared" si="2"/>
        <v>11819500</v>
      </c>
      <c r="L31" s="161">
        <f t="shared" si="2"/>
        <v>17475500</v>
      </c>
      <c r="M31" s="161">
        <f t="shared" si="2"/>
        <v>33311500</v>
      </c>
      <c r="N31" s="161">
        <f t="shared" si="2"/>
        <v>38967500</v>
      </c>
      <c r="O31" s="161">
        <f t="shared" si="2"/>
        <v>44623500</v>
      </c>
      <c r="P31" s="132">
        <f t="shared" si="2"/>
        <v>165000000</v>
      </c>
      <c r="Q31" s="132">
        <f t="shared" si="2"/>
        <v>1081000000</v>
      </c>
      <c r="T31" s="173"/>
      <c r="U31" s="173"/>
    </row>
    <row r="32" spans="2:21" s="110" customFormat="1" x14ac:dyDescent="0.2">
      <c r="B32" s="111"/>
      <c r="C32" s="112"/>
      <c r="D32" s="112"/>
      <c r="E32" s="112"/>
      <c r="F32" s="112"/>
      <c r="G32" s="112"/>
      <c r="H32" s="112"/>
      <c r="I32" s="112"/>
      <c r="J32" s="112"/>
      <c r="K32" s="112"/>
      <c r="L32" s="112"/>
      <c r="M32" s="112"/>
      <c r="N32" s="112"/>
      <c r="O32" s="112"/>
      <c r="P32" s="137"/>
      <c r="Q32" s="137"/>
    </row>
    <row r="33" spans="1:26" s="110" customFormat="1" x14ac:dyDescent="0.2">
      <c r="B33" s="111"/>
      <c r="C33" s="112"/>
      <c r="D33" s="112"/>
      <c r="E33" s="112"/>
      <c r="F33" s="112"/>
      <c r="G33" s="112"/>
      <c r="H33" s="112"/>
      <c r="I33" s="112"/>
      <c r="J33" s="112"/>
      <c r="K33" s="112"/>
      <c r="L33" s="112"/>
      <c r="M33" s="112"/>
      <c r="N33" s="112"/>
      <c r="O33" s="112"/>
      <c r="P33" s="137"/>
      <c r="Q33" s="137"/>
    </row>
    <row r="34" spans="1:26" x14ac:dyDescent="0.2">
      <c r="A34" s="99" t="s">
        <v>49</v>
      </c>
      <c r="C34" s="113"/>
      <c r="D34" s="113"/>
      <c r="E34" s="113"/>
      <c r="F34" s="113"/>
      <c r="G34" s="113"/>
      <c r="H34" s="113"/>
      <c r="I34" s="113"/>
      <c r="J34" s="113"/>
      <c r="K34" s="113"/>
      <c r="L34" s="113"/>
      <c r="M34" s="113"/>
      <c r="N34" s="113"/>
      <c r="O34" s="113"/>
      <c r="P34" s="137"/>
      <c r="Q34" s="137"/>
      <c r="X34" s="188" t="s">
        <v>120</v>
      </c>
      <c r="Y34" s="174">
        <v>2014</v>
      </c>
      <c r="Z34" s="174">
        <v>2015</v>
      </c>
    </row>
    <row r="35" spans="1:26" x14ac:dyDescent="0.2">
      <c r="B35" s="178" t="s">
        <v>119</v>
      </c>
      <c r="C35" s="104">
        <v>-55000000</v>
      </c>
      <c r="D35" s="104">
        <f>ROUND(C35/10,-5)</f>
        <v>-5500000</v>
      </c>
      <c r="E35" s="104">
        <f t="shared" ref="E35:N35" si="3">ROUND(MIN(D35*1.05,D$31*$Y35),-5)</f>
        <v>-5800000</v>
      </c>
      <c r="F35" s="104">
        <f t="shared" si="3"/>
        <v>-6100000</v>
      </c>
      <c r="G35" s="104">
        <f t="shared" si="3"/>
        <v>-6400000</v>
      </c>
      <c r="H35" s="104">
        <f t="shared" si="3"/>
        <v>-6700000</v>
      </c>
      <c r="I35" s="104">
        <f t="shared" si="3"/>
        <v>-7000000</v>
      </c>
      <c r="J35" s="104">
        <f t="shared" si="3"/>
        <v>-7400000</v>
      </c>
      <c r="K35" s="104">
        <f t="shared" si="3"/>
        <v>-7800000</v>
      </c>
      <c r="L35" s="104">
        <f t="shared" si="3"/>
        <v>-8200000</v>
      </c>
      <c r="M35" s="104">
        <f t="shared" si="3"/>
        <v>-8600000</v>
      </c>
      <c r="N35" s="104">
        <f t="shared" si="3"/>
        <v>-11700000</v>
      </c>
      <c r="O35" s="104">
        <f>ROUND(MIN(N35*1.1,N$31*$Y35),-5)</f>
        <v>-13600000</v>
      </c>
      <c r="P35" s="182">
        <f>ROUND(SUM(D35:O35),-6)</f>
        <v>-95000000</v>
      </c>
      <c r="Q35" s="104">
        <f>ROUNDDOWN($Q$31*Z35,-7)</f>
        <v>-270000000</v>
      </c>
      <c r="Y35" s="173">
        <v>-0.35</v>
      </c>
      <c r="Z35" s="173">
        <v>-0.25</v>
      </c>
    </row>
    <row r="36" spans="1:26" x14ac:dyDescent="0.2">
      <c r="B36" s="103" t="s">
        <v>50</v>
      </c>
      <c r="C36" s="104">
        <v>-2500000</v>
      </c>
      <c r="D36" s="104">
        <f>ROUND(C36/6,-5)</f>
        <v>-400000</v>
      </c>
      <c r="E36" s="104">
        <f t="shared" ref="E36:J36" si="4">ROUND(MIN(D36*1.1,D$31*$Y36),-4)</f>
        <v>-440000</v>
      </c>
      <c r="F36" s="104">
        <f t="shared" si="4"/>
        <v>-480000</v>
      </c>
      <c r="G36" s="104">
        <f t="shared" si="4"/>
        <v>-530000</v>
      </c>
      <c r="H36" s="104">
        <f t="shared" si="4"/>
        <v>-580000</v>
      </c>
      <c r="I36" s="104">
        <f t="shared" si="4"/>
        <v>-640000</v>
      </c>
      <c r="J36" s="104">
        <f t="shared" si="4"/>
        <v>-700000</v>
      </c>
      <c r="K36" s="104">
        <f>ROUND(MIN(J36*1.1,J$31*$Y36),-5)</f>
        <v>-1000000</v>
      </c>
      <c r="L36" s="104">
        <f>ROUND(MIN(K36*1.1,K$31*$Y36),-5)</f>
        <v>-1400000</v>
      </c>
      <c r="M36" s="104">
        <f>ROUND(MIN(L36*1.1,L$31*$Y36),-5)</f>
        <v>-2100000</v>
      </c>
      <c r="N36" s="104">
        <f>ROUND(MIN(M36*1.1,M$31*$Y36),-5)</f>
        <v>-4000000</v>
      </c>
      <c r="O36" s="104">
        <f>ROUND(MIN(N36*1.1,N$31*$Y36),-5)</f>
        <v>-4700000</v>
      </c>
      <c r="P36" s="182">
        <f>ROUND(SUM(D36:O36),-6)</f>
        <v>-17000000</v>
      </c>
      <c r="Q36" s="104">
        <f>ROUNDDOWN($Q$31*Z36,-7)</f>
        <v>-80000000</v>
      </c>
      <c r="Y36" s="173">
        <v>-0.12</v>
      </c>
      <c r="Z36" s="187">
        <v>-0.08</v>
      </c>
    </row>
    <row r="37" spans="1:26" x14ac:dyDescent="0.2">
      <c r="B37" s="103" t="s">
        <v>51</v>
      </c>
      <c r="C37" s="104">
        <v>-1500000</v>
      </c>
      <c r="D37" s="104">
        <f>ROUND(C37/6,-5)</f>
        <v>-300000</v>
      </c>
      <c r="E37" s="104">
        <f t="shared" ref="E37:O37" si="5">ROUND(MIN(D37,D$31*$Y37),-4)</f>
        <v>-300000</v>
      </c>
      <c r="F37" s="104">
        <f t="shared" si="5"/>
        <v>-300000</v>
      </c>
      <c r="G37" s="104">
        <f t="shared" si="5"/>
        <v>-300000</v>
      </c>
      <c r="H37" s="104">
        <f t="shared" si="5"/>
        <v>-300000</v>
      </c>
      <c r="I37" s="104">
        <f t="shared" si="5"/>
        <v>-300000</v>
      </c>
      <c r="J37" s="104">
        <f t="shared" si="5"/>
        <v>-580000</v>
      </c>
      <c r="K37" s="104">
        <f t="shared" si="5"/>
        <v>-860000</v>
      </c>
      <c r="L37" s="104">
        <f t="shared" si="5"/>
        <v>-1180000</v>
      </c>
      <c r="M37" s="104">
        <f t="shared" si="5"/>
        <v>-1750000</v>
      </c>
      <c r="N37" s="104">
        <f t="shared" si="5"/>
        <v>-3330000</v>
      </c>
      <c r="O37" s="104">
        <f t="shared" si="5"/>
        <v>-3900000</v>
      </c>
      <c r="P37" s="104">
        <f>ROUND(SUM(D37:O37),-6)</f>
        <v>-13000000</v>
      </c>
      <c r="Q37" s="104">
        <f>ROUNDDOWN($Q$31*Z37,-7)</f>
        <v>-60000000</v>
      </c>
      <c r="Y37" s="173">
        <v>-0.1</v>
      </c>
      <c r="Z37" s="173">
        <v>-0.06</v>
      </c>
    </row>
    <row r="38" spans="1:26" x14ac:dyDescent="0.2">
      <c r="B38" s="100" t="s">
        <v>68</v>
      </c>
      <c r="C38" s="104">
        <v>-7000000</v>
      </c>
      <c r="D38" s="104">
        <f>ROUND(C38/6,-5)</f>
        <v>-1200000</v>
      </c>
      <c r="E38" s="104">
        <f t="shared" ref="E38:J39" si="6">ROUND(MIN(D38*1.1,D$31*$Y38),-4)</f>
        <v>-1320000</v>
      </c>
      <c r="F38" s="104">
        <f t="shared" si="6"/>
        <v>-1450000</v>
      </c>
      <c r="G38" s="104">
        <f t="shared" si="6"/>
        <v>-1600000</v>
      </c>
      <c r="H38" s="104">
        <f t="shared" si="6"/>
        <v>-1760000</v>
      </c>
      <c r="I38" s="104">
        <f t="shared" si="6"/>
        <v>-1940000</v>
      </c>
      <c r="J38" s="104">
        <f t="shared" si="6"/>
        <v>-2130000</v>
      </c>
      <c r="K38" s="104">
        <f t="shared" ref="K38:O39" si="7">ROUND(MIN(J38*1.1,J$31*$Y38),-5)</f>
        <v>-2600000</v>
      </c>
      <c r="L38" s="104">
        <f t="shared" si="7"/>
        <v>-3500000</v>
      </c>
      <c r="M38" s="104">
        <f t="shared" si="7"/>
        <v>-5200000</v>
      </c>
      <c r="N38" s="104">
        <f t="shared" si="7"/>
        <v>-10000000</v>
      </c>
      <c r="O38" s="104">
        <f t="shared" si="7"/>
        <v>-11700000</v>
      </c>
      <c r="P38" s="104">
        <f>ROUND(SUM(D38:O38),-6)</f>
        <v>-44000000</v>
      </c>
      <c r="Q38" s="104">
        <f>ROUNDDOWN($Q$31*Z38,-7)</f>
        <v>-160000000</v>
      </c>
      <c r="Y38" s="173">
        <v>-0.3</v>
      </c>
      <c r="Z38" s="173">
        <v>-0.15</v>
      </c>
    </row>
    <row r="39" spans="1:26" x14ac:dyDescent="0.2">
      <c r="B39" s="100" t="s">
        <v>52</v>
      </c>
      <c r="C39" s="104">
        <v>-18000000</v>
      </c>
      <c r="D39" s="104">
        <f>ROUND(C39/12,-5)</f>
        <v>-1500000</v>
      </c>
      <c r="E39" s="104">
        <f t="shared" si="6"/>
        <v>-1650000</v>
      </c>
      <c r="F39" s="104">
        <f t="shared" si="6"/>
        <v>-1820000</v>
      </c>
      <c r="G39" s="104">
        <f t="shared" si="6"/>
        <v>-2000000</v>
      </c>
      <c r="H39" s="104">
        <f t="shared" si="6"/>
        <v>-2200000</v>
      </c>
      <c r="I39" s="104">
        <f t="shared" si="6"/>
        <v>-2420000</v>
      </c>
      <c r="J39" s="104">
        <f t="shared" si="6"/>
        <v>-2660000</v>
      </c>
      <c r="K39" s="104">
        <f t="shared" si="7"/>
        <v>-2900000</v>
      </c>
      <c r="L39" s="104">
        <f t="shared" si="7"/>
        <v>-3200000</v>
      </c>
      <c r="M39" s="104">
        <f t="shared" si="7"/>
        <v>-3500000</v>
      </c>
      <c r="N39" s="104">
        <f t="shared" si="7"/>
        <v>-3900000</v>
      </c>
      <c r="O39" s="104">
        <f t="shared" si="7"/>
        <v>-4300000</v>
      </c>
      <c r="P39" s="104">
        <f>ROUND(SUM(D39:O39),-6)</f>
        <v>-32000000</v>
      </c>
      <c r="Q39" s="104">
        <f>ROUNDDOWN($Q$31*Z39,-7)</f>
        <v>-100000000</v>
      </c>
      <c r="Y39" s="173">
        <v>-0.1</v>
      </c>
      <c r="Z39" s="173">
        <v>-0.1</v>
      </c>
    </row>
    <row r="40" spans="1:26" ht="13.5" thickBot="1" x14ac:dyDescent="0.25">
      <c r="B40" s="101" t="s">
        <v>53</v>
      </c>
      <c r="C40" s="109">
        <f>SUM(C35:C39)</f>
        <v>-84000000</v>
      </c>
      <c r="D40" s="104">
        <f>SUM(D35:D39)</f>
        <v>-8900000</v>
      </c>
      <c r="E40" s="104">
        <f>SUM(E35:E39)</f>
        <v>-9510000</v>
      </c>
      <c r="F40" s="104">
        <f>SUM(F35:F39)</f>
        <v>-10150000</v>
      </c>
      <c r="G40" s="104">
        <f t="shared" ref="G40:O40" si="8">SUM(G35:G39)</f>
        <v>-10830000</v>
      </c>
      <c r="H40" s="104">
        <f t="shared" si="8"/>
        <v>-11540000</v>
      </c>
      <c r="I40" s="104">
        <f t="shared" si="8"/>
        <v>-12300000</v>
      </c>
      <c r="J40" s="104">
        <f t="shared" si="8"/>
        <v>-13470000</v>
      </c>
      <c r="K40" s="104">
        <f t="shared" si="8"/>
        <v>-15160000</v>
      </c>
      <c r="L40" s="104">
        <f t="shared" si="8"/>
        <v>-17480000</v>
      </c>
      <c r="M40" s="104">
        <f t="shared" si="8"/>
        <v>-21150000</v>
      </c>
      <c r="N40" s="104">
        <f t="shared" si="8"/>
        <v>-32930000</v>
      </c>
      <c r="O40" s="104">
        <f t="shared" si="8"/>
        <v>-38200000</v>
      </c>
      <c r="P40" s="109">
        <f>SUM(P35:P39)</f>
        <v>-201000000</v>
      </c>
      <c r="Q40" s="109">
        <f>SUM(Q35:Q39)</f>
        <v>-670000000</v>
      </c>
      <c r="Y40" s="175">
        <f>SUM(Y35:Y39)</f>
        <v>-0.96999999999999986</v>
      </c>
      <c r="Z40" s="175">
        <f>SUM(Z35:Z39)</f>
        <v>-0.64</v>
      </c>
    </row>
    <row r="41" spans="1:26" x14ac:dyDescent="0.2">
      <c r="B41" s="129"/>
      <c r="C41" s="164"/>
      <c r="D41" s="164"/>
      <c r="E41" s="164"/>
      <c r="F41" s="164"/>
      <c r="G41" s="164"/>
      <c r="H41" s="164"/>
      <c r="I41" s="164"/>
      <c r="J41" s="164"/>
      <c r="K41" s="164"/>
      <c r="L41" s="164"/>
      <c r="M41" s="164"/>
      <c r="N41" s="164"/>
      <c r="O41" s="164"/>
      <c r="P41" s="164"/>
      <c r="Q41" s="164"/>
      <c r="W41" s="173"/>
    </row>
    <row r="42" spans="1:26" s="114" customFormat="1" x14ac:dyDescent="0.2">
      <c r="B42" s="165" t="s">
        <v>65</v>
      </c>
      <c r="C42" s="166">
        <f t="shared" ref="C42:Q42" si="9">C31+C40</f>
        <v>-59000000</v>
      </c>
      <c r="D42" s="166">
        <f t="shared" si="9"/>
        <v>-8842250</v>
      </c>
      <c r="E42" s="166">
        <f t="shared" si="9"/>
        <v>-9289500</v>
      </c>
      <c r="F42" s="166">
        <f t="shared" si="9"/>
        <v>-9498300</v>
      </c>
      <c r="G42" s="166">
        <f t="shared" si="9"/>
        <v>-9325700</v>
      </c>
      <c r="H42" s="166">
        <f t="shared" si="9"/>
        <v>-8957000</v>
      </c>
      <c r="I42" s="166">
        <f t="shared" si="9"/>
        <v>-6539000</v>
      </c>
      <c r="J42" s="166">
        <f t="shared" si="9"/>
        <v>-4916000</v>
      </c>
      <c r="K42" s="166">
        <f t="shared" si="9"/>
        <v>-3340500</v>
      </c>
      <c r="L42" s="166">
        <f t="shared" si="9"/>
        <v>-4500</v>
      </c>
      <c r="M42" s="166">
        <f t="shared" si="9"/>
        <v>12161500</v>
      </c>
      <c r="N42" s="166">
        <f t="shared" si="9"/>
        <v>6037500</v>
      </c>
      <c r="O42" s="166">
        <f t="shared" si="9"/>
        <v>6423500</v>
      </c>
      <c r="P42" s="166">
        <f t="shared" si="9"/>
        <v>-36000000</v>
      </c>
      <c r="Q42" s="166">
        <f t="shared" si="9"/>
        <v>411000000</v>
      </c>
      <c r="Y42" s="176">
        <f>P42/P20</f>
        <v>-0.13793103448275862</v>
      </c>
      <c r="Z42" s="176">
        <f>Q42/Q20</f>
        <v>0.24464285714285713</v>
      </c>
    </row>
    <row r="44" spans="1:26" x14ac:dyDescent="0.2">
      <c r="A44" s="99" t="s">
        <v>102</v>
      </c>
    </row>
    <row r="45" spans="1:26" s="115" customFormat="1" x14ac:dyDescent="0.2">
      <c r="B45" s="116" t="s">
        <v>66</v>
      </c>
      <c r="C45" s="156">
        <v>-2000000</v>
      </c>
      <c r="D45" s="156">
        <v>-111458.33333333333</v>
      </c>
      <c r="E45" s="156">
        <v>-111458.33333333333</v>
      </c>
      <c r="F45" s="156">
        <v>-111458.33333333333</v>
      </c>
      <c r="G45" s="156">
        <v>-282291.66666666669</v>
      </c>
      <c r="H45" s="156">
        <v>-282291.66666666669</v>
      </c>
      <c r="I45" s="156">
        <v>-282291.66666666669</v>
      </c>
      <c r="J45" s="156">
        <v>-418750</v>
      </c>
      <c r="K45" s="156">
        <v>-418750</v>
      </c>
      <c r="L45" s="156">
        <v>-418750</v>
      </c>
      <c r="M45" s="156">
        <v>-635416.66666666663</v>
      </c>
      <c r="N45" s="156">
        <v>-635416.66666666663</v>
      </c>
      <c r="O45" s="156">
        <v>-635416.66666666663</v>
      </c>
      <c r="P45" s="156">
        <v>-4000000</v>
      </c>
      <c r="Q45" s="156">
        <v>-21000000</v>
      </c>
    </row>
    <row r="46" spans="1:26" s="114" customFormat="1" x14ac:dyDescent="0.2">
      <c r="B46" s="116" t="s">
        <v>103</v>
      </c>
      <c r="C46" s="156">
        <v>0</v>
      </c>
      <c r="D46" s="156"/>
      <c r="E46" s="156"/>
      <c r="F46" s="156"/>
      <c r="G46" s="156"/>
      <c r="H46" s="156"/>
      <c r="I46" s="156"/>
      <c r="J46" s="156"/>
      <c r="K46" s="156"/>
      <c r="L46" s="156"/>
      <c r="M46" s="156"/>
      <c r="N46" s="156"/>
      <c r="O46" s="156"/>
      <c r="P46" s="156">
        <v>0</v>
      </c>
      <c r="Q46" s="170" t="s">
        <v>39</v>
      </c>
    </row>
    <row r="47" spans="1:26" x14ac:dyDescent="0.2">
      <c r="C47" s="100"/>
      <c r="D47" s="100"/>
      <c r="E47" s="100"/>
      <c r="F47" s="100"/>
      <c r="G47" s="100"/>
      <c r="H47" s="100"/>
      <c r="I47" s="100"/>
      <c r="J47" s="100"/>
      <c r="K47" s="100"/>
      <c r="L47" s="100"/>
      <c r="M47" s="100"/>
      <c r="N47" s="100"/>
      <c r="O47" s="100"/>
      <c r="Q47" s="168"/>
    </row>
    <row r="48" spans="1:26" ht="13.5" thickBot="1" x14ac:dyDescent="0.25">
      <c r="B48" s="119" t="s">
        <v>104</v>
      </c>
      <c r="C48" s="167">
        <f>SUM(C42:C46)</f>
        <v>-61000000</v>
      </c>
      <c r="D48" s="171">
        <f>SUM(D42:D46)</f>
        <v>-8953708.333333334</v>
      </c>
      <c r="E48" s="171">
        <f>SUM(E42:E46)</f>
        <v>-9400958.333333334</v>
      </c>
      <c r="F48" s="171">
        <f>SUM(F42:F46)</f>
        <v>-9609758.333333334</v>
      </c>
      <c r="G48" s="171">
        <f>SUM(G42:G46)</f>
        <v>-9607991.666666666</v>
      </c>
      <c r="H48" s="171">
        <f t="shared" ref="H48:O48" si="10">SUM(H42:H46)</f>
        <v>-9239291.666666666</v>
      </c>
      <c r="I48" s="171">
        <f t="shared" si="10"/>
        <v>-6821291.666666667</v>
      </c>
      <c r="J48" s="171">
        <f t="shared" si="10"/>
        <v>-5334750</v>
      </c>
      <c r="K48" s="171">
        <f t="shared" si="10"/>
        <v>-3759250</v>
      </c>
      <c r="L48" s="171">
        <f t="shared" si="10"/>
        <v>-423250</v>
      </c>
      <c r="M48" s="171">
        <f t="shared" si="10"/>
        <v>11526083.333333334</v>
      </c>
      <c r="N48" s="171">
        <f t="shared" si="10"/>
        <v>5402083.333333333</v>
      </c>
      <c r="O48" s="171">
        <f t="shared" si="10"/>
        <v>5788083.333333333</v>
      </c>
      <c r="P48" s="167">
        <f>SUM(P42:P46)</f>
        <v>-40000000</v>
      </c>
      <c r="Q48" s="169" t="s">
        <v>39</v>
      </c>
    </row>
    <row r="49" spans="1:17" ht="13.5" thickTop="1" x14ac:dyDescent="0.2"/>
    <row r="50" spans="1:17" x14ac:dyDescent="0.2">
      <c r="D50" s="172"/>
      <c r="E50" s="172"/>
      <c r="F50" s="172"/>
      <c r="G50" s="172"/>
    </row>
    <row r="53" spans="1:17" s="99" customFormat="1" x14ac:dyDescent="0.2">
      <c r="A53" s="100"/>
      <c r="B53" s="100"/>
      <c r="P53" s="100"/>
      <c r="Q53" s="100"/>
    </row>
  </sheetData>
  <pageMargins left="0.75" right="0.75" top="1" bottom="1" header="0.5" footer="0.5"/>
  <pageSetup orientation="portrait"/>
  <headerFooter alignWithMargins="0">
    <oddHeader>&amp;L&amp;"arial unicode ms,Regular"&amp;8 Theranos Confidential</oddHeader>
    <oddFooter>&amp;L&amp;"arial unicode ms,Regular"&amp;8 Theranos Confidential</oddFooter>
    <evenHeader>&amp;L&amp;"arial unicode ms,Regular"&amp;8 Theranos Confidential</evenHeader>
    <evenFooter>&amp;L&amp;"arial unicode ms,Regular"&amp;8 Theranos Confidential</evenFooter>
    <firstHeader>&amp;L&amp;"arial unicode ms,Regular"&amp;8 Theranos Confidential</firstHeader>
    <firstFooter>&amp;L&amp;"arial unicode ms,Regular"&amp;8 Theranos Confidential</first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4:Q39"/>
  <sheetViews>
    <sheetView zoomScale="110" zoomScaleNormal="110" zoomScalePageLayoutView="150" workbookViewId="0">
      <pane xSplit="2" ySplit="6" topLeftCell="C7" activePane="bottomRight" state="frozen"/>
      <selection pane="topRight" activeCell="C1" sqref="C1"/>
      <selection pane="bottomLeft" activeCell="A4" sqref="A4"/>
      <selection pane="bottomRight" activeCell="B33" sqref="B33"/>
    </sheetView>
  </sheetViews>
  <sheetFormatPr defaultColWidth="10.75" defaultRowHeight="12.75" outlineLevelCol="1" x14ac:dyDescent="0.2"/>
  <cols>
    <col min="1" max="1" width="4.5" style="100" customWidth="1"/>
    <col min="2" max="2" width="47" style="116" bestFit="1" customWidth="1"/>
    <col min="3" max="3" width="20" style="116" customWidth="1"/>
    <col min="4" max="15" width="20" style="116" hidden="1" customWidth="1" outlineLevel="1"/>
    <col min="16" max="16" width="17.5" style="100" bestFit="1" customWidth="1" collapsed="1"/>
    <col min="17" max="17" width="18.375" style="100" bestFit="1" customWidth="1"/>
    <col min="18" max="16384" width="10.75" style="100"/>
  </cols>
  <sheetData>
    <row r="4" spans="1:17" x14ac:dyDescent="0.2">
      <c r="A4" s="180" t="s">
        <v>113</v>
      </c>
      <c r="C4" s="129"/>
      <c r="D4" s="129"/>
      <c r="E4" s="129"/>
      <c r="F4" s="129"/>
      <c r="G4" s="129"/>
      <c r="H4" s="129"/>
      <c r="I4" s="129"/>
      <c r="J4" s="129"/>
      <c r="K4" s="129"/>
      <c r="L4" s="129"/>
      <c r="M4" s="129"/>
      <c r="N4" s="129"/>
      <c r="O4" s="129"/>
      <c r="P4" s="116"/>
    </row>
    <row r="5" spans="1:17" s="116" customFormat="1" ht="13.5" thickBot="1" x14ac:dyDescent="0.25">
      <c r="C5" s="206"/>
      <c r="D5" s="151"/>
      <c r="E5" s="151"/>
      <c r="F5" s="151"/>
      <c r="G5" s="151"/>
      <c r="H5" s="151"/>
      <c r="I5" s="151"/>
      <c r="J5" s="151"/>
      <c r="K5" s="151"/>
      <c r="L5" s="151"/>
      <c r="M5" s="151"/>
      <c r="N5" s="151"/>
      <c r="O5" s="151"/>
    </row>
    <row r="6" spans="1:17" ht="13.5" thickBot="1" x14ac:dyDescent="0.25">
      <c r="A6" s="145"/>
      <c r="B6" s="146" t="s">
        <v>45</v>
      </c>
      <c r="C6" s="245">
        <v>40177</v>
      </c>
      <c r="D6" s="244">
        <v>40208</v>
      </c>
      <c r="E6" s="160">
        <v>40236</v>
      </c>
      <c r="F6" s="160">
        <v>40267</v>
      </c>
      <c r="G6" s="160">
        <v>40297</v>
      </c>
      <c r="H6" s="160">
        <v>40328</v>
      </c>
      <c r="I6" s="160">
        <v>40358</v>
      </c>
      <c r="J6" s="160">
        <v>40389</v>
      </c>
      <c r="K6" s="160">
        <v>40420</v>
      </c>
      <c r="L6" s="160">
        <v>40450</v>
      </c>
      <c r="M6" s="160">
        <v>40481</v>
      </c>
      <c r="N6" s="160">
        <v>40511</v>
      </c>
      <c r="O6" s="255">
        <v>40542</v>
      </c>
      <c r="P6" s="262">
        <v>40542</v>
      </c>
      <c r="Q6" s="256">
        <v>40907</v>
      </c>
    </row>
    <row r="7" spans="1:17" ht="15" customHeight="1" x14ac:dyDescent="0.2">
      <c r="A7" s="117"/>
      <c r="C7" s="246"/>
      <c r="D7" s="142"/>
      <c r="E7" s="142"/>
      <c r="F7" s="142"/>
      <c r="G7" s="142"/>
      <c r="H7" s="142"/>
      <c r="I7" s="142"/>
      <c r="J7" s="142"/>
      <c r="K7" s="142"/>
      <c r="L7" s="142"/>
      <c r="M7" s="142"/>
      <c r="N7" s="142"/>
      <c r="O7" s="142"/>
      <c r="P7" s="116"/>
      <c r="Q7" s="257"/>
    </row>
    <row r="8" spans="1:17" ht="15" customHeight="1" thickBot="1" x14ac:dyDescent="0.25">
      <c r="A8" s="117"/>
      <c r="B8" s="119" t="s">
        <v>101</v>
      </c>
      <c r="C8" s="247">
        <v>53500000</v>
      </c>
      <c r="D8" s="133">
        <f>C25</f>
        <v>105000000</v>
      </c>
      <c r="E8" s="133">
        <f>D25</f>
        <v>96000000</v>
      </c>
      <c r="F8" s="133">
        <f t="shared" ref="F8:O8" si="0">E25</f>
        <v>87000000</v>
      </c>
      <c r="G8" s="133">
        <f t="shared" si="0"/>
        <v>101000000</v>
      </c>
      <c r="H8" s="133">
        <f t="shared" si="0"/>
        <v>89000000</v>
      </c>
      <c r="I8" s="133">
        <f t="shared" si="0"/>
        <v>80000000</v>
      </c>
      <c r="J8" s="133">
        <f t="shared" si="0"/>
        <v>72000000</v>
      </c>
      <c r="K8" s="133">
        <f t="shared" si="0"/>
        <v>65000000</v>
      </c>
      <c r="L8" s="133">
        <f t="shared" si="0"/>
        <v>58000000</v>
      </c>
      <c r="M8" s="133">
        <f t="shared" si="0"/>
        <v>55000000</v>
      </c>
      <c r="N8" s="133">
        <f t="shared" si="0"/>
        <v>61000000</v>
      </c>
      <c r="O8" s="133">
        <f t="shared" si="0"/>
        <v>64000000</v>
      </c>
      <c r="P8" s="263">
        <f>C25</f>
        <v>105000000</v>
      </c>
      <c r="Q8" s="258">
        <f>P25</f>
        <v>68000000</v>
      </c>
    </row>
    <row r="9" spans="1:17" ht="15" customHeight="1" thickTop="1" x14ac:dyDescent="0.2">
      <c r="A9" s="117"/>
      <c r="B9" s="120" t="s">
        <v>105</v>
      </c>
      <c r="C9" s="248">
        <f>'Proforma IncomeStmt'!C48</f>
        <v>-61000000</v>
      </c>
      <c r="D9" s="156">
        <f>'Proforma IncomeStmt'!D42</f>
        <v>-8842250</v>
      </c>
      <c r="E9" s="156">
        <f>'Proforma IncomeStmt'!E42</f>
        <v>-9289500</v>
      </c>
      <c r="F9" s="156">
        <f>'Proforma IncomeStmt'!F42</f>
        <v>-9498300</v>
      </c>
      <c r="G9" s="156">
        <f>'Proforma IncomeStmt'!G42</f>
        <v>-9325700</v>
      </c>
      <c r="H9" s="156">
        <f>'Proforma IncomeStmt'!H42</f>
        <v>-8957000</v>
      </c>
      <c r="I9" s="156">
        <f>'Proforma IncomeStmt'!I42</f>
        <v>-6539000</v>
      </c>
      <c r="J9" s="156">
        <f>'Proforma IncomeStmt'!J42</f>
        <v>-4916000</v>
      </c>
      <c r="K9" s="156">
        <f>'Proforma IncomeStmt'!K42</f>
        <v>-3340500</v>
      </c>
      <c r="L9" s="156">
        <f>'Proforma IncomeStmt'!L42</f>
        <v>-4500</v>
      </c>
      <c r="M9" s="156">
        <f>'Proforma IncomeStmt'!M42</f>
        <v>12161500</v>
      </c>
      <c r="N9" s="156">
        <f>'Proforma IncomeStmt'!N42</f>
        <v>6037500</v>
      </c>
      <c r="O9" s="156">
        <f>'Proforma IncomeStmt'!O42</f>
        <v>6423500</v>
      </c>
      <c r="P9" s="143">
        <f>'Proforma IncomeStmt'!P42</f>
        <v>-36000000</v>
      </c>
      <c r="Q9" s="259">
        <f>'Proforma IncomeStmt'!Q42</f>
        <v>411000000</v>
      </c>
    </row>
    <row r="10" spans="1:17" ht="15" customHeight="1" x14ac:dyDescent="0.2">
      <c r="A10" s="117"/>
      <c r="B10" s="122" t="s">
        <v>67</v>
      </c>
      <c r="C10" s="249">
        <f>-'Proforma IncomeStmt'!C45</f>
        <v>2000000</v>
      </c>
      <c r="D10" s="121">
        <f>-'Proforma IncomeStmt'!D45</f>
        <v>111458.33333333333</v>
      </c>
      <c r="E10" s="121">
        <f>-'Proforma IncomeStmt'!E45</f>
        <v>111458.33333333333</v>
      </c>
      <c r="F10" s="121">
        <f>-'Proforma IncomeStmt'!F45</f>
        <v>111458.33333333333</v>
      </c>
      <c r="G10" s="121">
        <f>-'Proforma IncomeStmt'!G45</f>
        <v>282291.66666666669</v>
      </c>
      <c r="H10" s="121">
        <f>-'Proforma IncomeStmt'!H45</f>
        <v>282291.66666666669</v>
      </c>
      <c r="I10" s="121">
        <f>-'Proforma IncomeStmt'!I45</f>
        <v>282291.66666666669</v>
      </c>
      <c r="J10" s="121">
        <f>-'Proforma IncomeStmt'!J45</f>
        <v>418750</v>
      </c>
      <c r="K10" s="121">
        <f>-'Proforma IncomeStmt'!K45</f>
        <v>418750</v>
      </c>
      <c r="L10" s="121">
        <f>-'Proforma IncomeStmt'!L45</f>
        <v>418750</v>
      </c>
      <c r="M10" s="121">
        <f>-'Proforma IncomeStmt'!M45</f>
        <v>635416.66666666663</v>
      </c>
      <c r="N10" s="121">
        <f>-'Proforma IncomeStmt'!N45</f>
        <v>635416.66666666663</v>
      </c>
      <c r="O10" s="121">
        <f>-'Proforma IncomeStmt'!O45</f>
        <v>635416.66666666663</v>
      </c>
      <c r="P10" s="121">
        <f>-'Proforma IncomeStmt'!P45</f>
        <v>4000000</v>
      </c>
      <c r="Q10" s="259">
        <f>-'Proforma IncomeStmt'!Q45</f>
        <v>21000000</v>
      </c>
    </row>
    <row r="11" spans="1:17" ht="15" customHeight="1" x14ac:dyDescent="0.2">
      <c r="A11" s="117"/>
      <c r="B11" s="122" t="s">
        <v>54</v>
      </c>
      <c r="C11" s="249"/>
      <c r="D11" s="121"/>
      <c r="E11" s="121"/>
      <c r="F11" s="121"/>
      <c r="G11" s="121"/>
      <c r="H11" s="121"/>
      <c r="I11" s="121"/>
      <c r="J11" s="121"/>
      <c r="K11" s="121"/>
      <c r="L11" s="121"/>
      <c r="M11" s="121"/>
      <c r="N11" s="121"/>
      <c r="O11" s="121"/>
      <c r="P11" s="264"/>
      <c r="Q11" s="259"/>
    </row>
    <row r="12" spans="1:17" ht="15" customHeight="1" x14ac:dyDescent="0.2">
      <c r="A12" s="117"/>
      <c r="B12" s="181" t="s">
        <v>121</v>
      </c>
      <c r="C12" s="249">
        <v>75000000</v>
      </c>
      <c r="D12" s="121">
        <v>0</v>
      </c>
      <c r="F12" s="121">
        <v>0</v>
      </c>
      <c r="G12" s="121">
        <v>0</v>
      </c>
      <c r="H12" s="121">
        <v>0</v>
      </c>
      <c r="I12" s="121">
        <v>0</v>
      </c>
      <c r="J12" s="121">
        <v>0</v>
      </c>
      <c r="K12" s="121">
        <v>0</v>
      </c>
      <c r="L12" s="121">
        <v>0</v>
      </c>
      <c r="M12" s="121">
        <v>0</v>
      </c>
      <c r="N12" s="121">
        <v>0</v>
      </c>
      <c r="O12" s="121">
        <v>0</v>
      </c>
      <c r="P12" s="264">
        <f>SUM(D12:O12)</f>
        <v>0</v>
      </c>
      <c r="Q12" s="259">
        <v>0</v>
      </c>
    </row>
    <row r="13" spans="1:17" ht="15" customHeight="1" x14ac:dyDescent="0.2">
      <c r="A13" s="117"/>
      <c r="B13" s="122" t="s">
        <v>55</v>
      </c>
      <c r="C13" s="249">
        <v>0</v>
      </c>
      <c r="D13" s="121">
        <v>0</v>
      </c>
      <c r="E13" s="121">
        <v>0</v>
      </c>
      <c r="F13" s="121">
        <v>25000000</v>
      </c>
      <c r="G13" s="121">
        <v>0</v>
      </c>
      <c r="H13" s="121">
        <v>0</v>
      </c>
      <c r="J13" s="121">
        <v>0</v>
      </c>
      <c r="K13" s="121">
        <v>0</v>
      </c>
      <c r="L13" s="121">
        <v>0</v>
      </c>
      <c r="M13" s="121">
        <v>0</v>
      </c>
      <c r="N13" s="121">
        <v>0</v>
      </c>
      <c r="O13" s="121">
        <v>0</v>
      </c>
      <c r="P13" s="264">
        <f>SUM(D13:O13)</f>
        <v>25000000</v>
      </c>
      <c r="Q13" s="259">
        <v>0</v>
      </c>
    </row>
    <row r="14" spans="1:17" ht="15" customHeight="1" x14ac:dyDescent="0.2">
      <c r="A14" s="117"/>
      <c r="B14" s="181" t="s">
        <v>127</v>
      </c>
      <c r="C14" s="250" t="s">
        <v>39</v>
      </c>
      <c r="D14" s="118" t="s">
        <v>39</v>
      </c>
      <c r="E14" s="118" t="s">
        <v>39</v>
      </c>
      <c r="F14" s="118" t="s">
        <v>39</v>
      </c>
      <c r="G14" s="118" t="s">
        <v>39</v>
      </c>
      <c r="H14" s="118" t="s">
        <v>39</v>
      </c>
      <c r="I14" s="118" t="s">
        <v>39</v>
      </c>
      <c r="J14" s="118" t="s">
        <v>39</v>
      </c>
      <c r="K14" s="118" t="s">
        <v>39</v>
      </c>
      <c r="L14" s="118" t="s">
        <v>39</v>
      </c>
      <c r="M14" s="118" t="s">
        <v>39</v>
      </c>
      <c r="N14" s="118" t="s">
        <v>39</v>
      </c>
      <c r="O14" s="118" t="s">
        <v>39</v>
      </c>
      <c r="P14" s="80" t="s">
        <v>39</v>
      </c>
      <c r="Q14" s="260" t="s">
        <v>39</v>
      </c>
    </row>
    <row r="15" spans="1:17" ht="15" customHeight="1" x14ac:dyDescent="0.2">
      <c r="A15" s="117"/>
      <c r="B15" s="122" t="s">
        <v>56</v>
      </c>
      <c r="C15" s="249">
        <v>-18500000</v>
      </c>
      <c r="D15" s="121">
        <v>0</v>
      </c>
      <c r="E15" s="121">
        <v>0</v>
      </c>
      <c r="F15" s="121">
        <v>0</v>
      </c>
      <c r="G15" s="121">
        <v>0</v>
      </c>
      <c r="H15" s="121">
        <v>0</v>
      </c>
      <c r="I15" s="121">
        <v>0</v>
      </c>
      <c r="J15" s="121">
        <v>0</v>
      </c>
      <c r="K15" s="121">
        <v>0</v>
      </c>
      <c r="L15" s="121">
        <v>0</v>
      </c>
      <c r="M15" s="121">
        <v>0</v>
      </c>
      <c r="N15" s="121">
        <v>0</v>
      </c>
      <c r="O15" s="121">
        <v>0</v>
      </c>
      <c r="P15" s="264"/>
      <c r="Q15" s="259">
        <v>0</v>
      </c>
    </row>
    <row r="16" spans="1:17" ht="15" customHeight="1" x14ac:dyDescent="0.2">
      <c r="A16" s="117"/>
      <c r="B16" s="181" t="s">
        <v>128</v>
      </c>
      <c r="C16" s="249">
        <v>59000000</v>
      </c>
      <c r="D16" s="121">
        <v>0</v>
      </c>
      <c r="E16" s="121">
        <v>0</v>
      </c>
      <c r="F16" s="121">
        <v>0</v>
      </c>
      <c r="G16" s="121">
        <v>0</v>
      </c>
      <c r="H16" s="121">
        <v>0</v>
      </c>
      <c r="I16" s="121">
        <v>0</v>
      </c>
      <c r="J16" s="121">
        <v>0</v>
      </c>
      <c r="K16" s="121">
        <v>0</v>
      </c>
      <c r="L16" s="121">
        <v>0</v>
      </c>
      <c r="M16" s="121">
        <v>0</v>
      </c>
      <c r="N16" s="121">
        <v>0</v>
      </c>
      <c r="O16" s="121">
        <v>0</v>
      </c>
      <c r="P16" s="264">
        <v>0</v>
      </c>
      <c r="Q16" s="259">
        <v>0</v>
      </c>
    </row>
    <row r="17" spans="1:17" ht="15" customHeight="1" x14ac:dyDescent="0.2">
      <c r="A17" s="117"/>
      <c r="B17" s="122"/>
      <c r="C17" s="249"/>
      <c r="D17" s="121"/>
      <c r="E17" s="121"/>
      <c r="F17" s="121"/>
      <c r="G17" s="121"/>
      <c r="H17" s="121"/>
      <c r="I17" s="121"/>
      <c r="J17" s="121"/>
      <c r="K17" s="121"/>
      <c r="L17" s="121"/>
      <c r="M17" s="121"/>
      <c r="N17" s="121"/>
      <c r="O17" s="121"/>
      <c r="P17" s="264"/>
      <c r="Q17" s="259"/>
    </row>
    <row r="18" spans="1:17" ht="15" customHeight="1" x14ac:dyDescent="0.2">
      <c r="A18" s="117"/>
      <c r="B18" s="124" t="s">
        <v>57</v>
      </c>
      <c r="C18" s="249"/>
      <c r="D18" s="121"/>
      <c r="E18" s="121"/>
      <c r="F18" s="121"/>
      <c r="G18" s="121"/>
      <c r="H18" s="121"/>
      <c r="I18" s="121"/>
      <c r="J18" s="121"/>
      <c r="K18" s="121"/>
      <c r="L18" s="121"/>
      <c r="M18" s="121"/>
      <c r="N18" s="121"/>
      <c r="O18" s="121"/>
      <c r="P18" s="264"/>
      <c r="Q18" s="259"/>
    </row>
    <row r="19" spans="1:17" s="116" customFormat="1" ht="15" customHeight="1" x14ac:dyDescent="0.2">
      <c r="A19" s="117"/>
      <c r="B19" s="179" t="s">
        <v>112</v>
      </c>
      <c r="C19" s="249">
        <v>-2000000</v>
      </c>
      <c r="D19" s="121">
        <v>0</v>
      </c>
      <c r="E19" s="121">
        <v>0</v>
      </c>
      <c r="F19" s="121">
        <v>-1000000</v>
      </c>
      <c r="G19" s="121">
        <v>-2000000</v>
      </c>
      <c r="H19" s="121"/>
      <c r="I19" s="121">
        <v>0</v>
      </c>
      <c r="J19" s="121"/>
      <c r="K19" s="121">
        <v>-3000000</v>
      </c>
      <c r="L19" s="121"/>
      <c r="M19" s="121">
        <v>-3000000</v>
      </c>
      <c r="N19" s="121"/>
      <c r="O19" s="121">
        <v>0</v>
      </c>
      <c r="P19" s="264">
        <f>SUM(D19:O19)</f>
        <v>-9000000</v>
      </c>
      <c r="Q19" s="259">
        <v>-30000000</v>
      </c>
    </row>
    <row r="20" spans="1:17" s="116" customFormat="1" ht="15" customHeight="1" thickBot="1" x14ac:dyDescent="0.25">
      <c r="A20" s="117"/>
      <c r="B20" s="125" t="s">
        <v>58</v>
      </c>
      <c r="C20" s="251">
        <v>-3000000</v>
      </c>
      <c r="D20" s="126">
        <f>-'Theranos Market Assumptions'!I53*DEVICE_COST</f>
        <v>0</v>
      </c>
      <c r="E20" s="126">
        <f>-'Theranos Market Assumptions'!J53*DEVICE_COST</f>
        <v>0</v>
      </c>
      <c r="F20" s="126">
        <f>-'Theranos Market Assumptions'!K53*DEVICE_COST</f>
        <v>-700000</v>
      </c>
      <c r="G20" s="126">
        <f>-'Theranos Market Assumptions'!L53*DEVICE_COST</f>
        <v>-700000</v>
      </c>
      <c r="H20" s="126">
        <f>-'Theranos Market Assumptions'!M53*DEVICE_COST</f>
        <v>-700000</v>
      </c>
      <c r="I20" s="126">
        <f>-'Theranos Market Assumptions'!N53*DEVICE_COST</f>
        <v>-2100000</v>
      </c>
      <c r="J20" s="126">
        <f>-'Theranos Market Assumptions'!O53*DEVICE_COST</f>
        <v>-2100000</v>
      </c>
      <c r="K20" s="126">
        <f>-'Theranos Market Assumptions'!P53*DEVICE_COST_HIGH_V</f>
        <v>-1500000</v>
      </c>
      <c r="L20" s="126">
        <f>-'Theranos Market Assumptions'!Q53*DEVICE_COST_HIGH_V</f>
        <v>-3500000</v>
      </c>
      <c r="M20" s="126">
        <f>-'Theranos Market Assumptions'!R53*DEVICE_COST_HIGH_V</f>
        <v>-4000000</v>
      </c>
      <c r="N20" s="126">
        <f>-'Theranos Market Assumptions'!S53*DEVICE_COST_HIGH_V</f>
        <v>-3500000</v>
      </c>
      <c r="O20" s="126">
        <f>-'Theranos Market Assumptions'!T53*DEVICE_COST_HIGH_V</f>
        <v>-3000000</v>
      </c>
      <c r="P20" s="265">
        <f>SUM(D20:O20)</f>
        <v>-21800000</v>
      </c>
      <c r="Q20" s="261">
        <f>-'Theranos Market Assumptions'!AH53*DEVICE_COST_HIGH_V</f>
        <v>-104750000</v>
      </c>
    </row>
    <row r="21" spans="1:17" s="116" customFormat="1" ht="15" customHeight="1" thickTop="1" x14ac:dyDescent="0.2">
      <c r="A21" s="117"/>
      <c r="B21" s="122" t="s">
        <v>59</v>
      </c>
      <c r="C21" s="252">
        <f t="shared" ref="C21:Q21" si="1">SUM(C19:C20)</f>
        <v>-5000000</v>
      </c>
      <c r="D21" s="127">
        <f t="shared" si="1"/>
        <v>0</v>
      </c>
      <c r="E21" s="127">
        <f t="shared" si="1"/>
        <v>0</v>
      </c>
      <c r="F21" s="127">
        <f t="shared" si="1"/>
        <v>-1700000</v>
      </c>
      <c r="G21" s="127">
        <f t="shared" si="1"/>
        <v>-2700000</v>
      </c>
      <c r="H21" s="127">
        <f t="shared" si="1"/>
        <v>-700000</v>
      </c>
      <c r="I21" s="127">
        <f t="shared" si="1"/>
        <v>-2100000</v>
      </c>
      <c r="J21" s="127">
        <f t="shared" si="1"/>
        <v>-2100000</v>
      </c>
      <c r="K21" s="127">
        <f t="shared" si="1"/>
        <v>-4500000</v>
      </c>
      <c r="L21" s="127">
        <f t="shared" si="1"/>
        <v>-3500000</v>
      </c>
      <c r="M21" s="127">
        <f t="shared" si="1"/>
        <v>-7000000</v>
      </c>
      <c r="N21" s="127">
        <f t="shared" si="1"/>
        <v>-3500000</v>
      </c>
      <c r="O21" s="127">
        <f t="shared" si="1"/>
        <v>-3000000</v>
      </c>
      <c r="P21" s="127">
        <f t="shared" si="1"/>
        <v>-30800000</v>
      </c>
      <c r="Q21" s="252">
        <f t="shared" si="1"/>
        <v>-134750000</v>
      </c>
    </row>
    <row r="22" spans="1:17" s="116" customFormat="1" ht="15" customHeight="1" x14ac:dyDescent="0.2">
      <c r="A22" s="117"/>
      <c r="B22" s="122"/>
      <c r="C22" s="253"/>
      <c r="D22" s="123"/>
      <c r="E22" s="123"/>
      <c r="F22" s="123"/>
      <c r="G22" s="123"/>
      <c r="H22" s="123"/>
      <c r="I22" s="123"/>
      <c r="J22" s="123"/>
      <c r="K22" s="123"/>
      <c r="L22" s="123"/>
      <c r="M22" s="123"/>
      <c r="N22" s="123"/>
      <c r="O22" s="123"/>
      <c r="P22" s="264"/>
      <c r="Q22" s="259"/>
    </row>
    <row r="23" spans="1:17" s="116" customFormat="1" ht="15" customHeight="1" thickBot="1" x14ac:dyDescent="0.25">
      <c r="A23" s="117"/>
      <c r="B23" s="128" t="s">
        <v>60</v>
      </c>
      <c r="C23" s="254">
        <f t="shared" ref="C23:O23" si="2">SUM(C9:C16,C21)</f>
        <v>51500000</v>
      </c>
      <c r="D23" s="163">
        <f t="shared" si="2"/>
        <v>-8730791.666666666</v>
      </c>
      <c r="E23" s="163">
        <f t="shared" si="2"/>
        <v>-9178041.666666666</v>
      </c>
      <c r="F23" s="163">
        <f t="shared" si="2"/>
        <v>13913158.333333334</v>
      </c>
      <c r="G23" s="163">
        <f t="shared" si="2"/>
        <v>-11743408.333333334</v>
      </c>
      <c r="H23" s="163">
        <f t="shared" si="2"/>
        <v>-9374708.333333334</v>
      </c>
      <c r="I23" s="163">
        <f t="shared" si="2"/>
        <v>-8356708.333333333</v>
      </c>
      <c r="J23" s="163">
        <f t="shared" si="2"/>
        <v>-6597250</v>
      </c>
      <c r="K23" s="163">
        <f t="shared" si="2"/>
        <v>-7421750</v>
      </c>
      <c r="L23" s="163">
        <f t="shared" si="2"/>
        <v>-3085750</v>
      </c>
      <c r="M23" s="163">
        <f t="shared" si="2"/>
        <v>5796916.666666666</v>
      </c>
      <c r="N23" s="163">
        <f t="shared" si="2"/>
        <v>3172916.666666667</v>
      </c>
      <c r="O23" s="163">
        <f t="shared" si="2"/>
        <v>4058916.666666667</v>
      </c>
      <c r="P23" s="144">
        <f>SUM(P9:P16,P21)</f>
        <v>-37800000</v>
      </c>
      <c r="Q23" s="254">
        <f>SUM(Q9:Q16,Q21)</f>
        <v>297250000</v>
      </c>
    </row>
    <row r="24" spans="1:17" s="116" customFormat="1" ht="15" customHeight="1" x14ac:dyDescent="0.2">
      <c r="A24" s="117"/>
      <c r="C24" s="253"/>
      <c r="D24" s="123"/>
      <c r="E24" s="123"/>
      <c r="F24" s="123"/>
      <c r="G24" s="123"/>
      <c r="H24" s="123"/>
      <c r="I24" s="123"/>
      <c r="J24" s="123"/>
      <c r="K24" s="123"/>
      <c r="L24" s="123"/>
      <c r="M24" s="123"/>
      <c r="N24" s="123"/>
      <c r="O24" s="123"/>
      <c r="P24" s="123"/>
      <c r="Q24" s="259"/>
    </row>
    <row r="25" spans="1:17" s="129" customFormat="1" ht="15" customHeight="1" x14ac:dyDescent="0.2">
      <c r="A25" s="147"/>
      <c r="B25" s="148" t="s">
        <v>61</v>
      </c>
      <c r="C25" s="150">
        <f t="shared" ref="C25:O25" si="3">ROUND(C8+C23,-6)</f>
        <v>105000000</v>
      </c>
      <c r="D25" s="149">
        <f t="shared" si="3"/>
        <v>96000000</v>
      </c>
      <c r="E25" s="149">
        <f t="shared" si="3"/>
        <v>87000000</v>
      </c>
      <c r="F25" s="149">
        <f t="shared" si="3"/>
        <v>101000000</v>
      </c>
      <c r="G25" s="149">
        <f t="shared" si="3"/>
        <v>89000000</v>
      </c>
      <c r="H25" s="149">
        <f t="shared" si="3"/>
        <v>80000000</v>
      </c>
      <c r="I25" s="149">
        <f t="shared" si="3"/>
        <v>72000000</v>
      </c>
      <c r="J25" s="149">
        <f t="shared" si="3"/>
        <v>65000000</v>
      </c>
      <c r="K25" s="149">
        <f t="shared" si="3"/>
        <v>58000000</v>
      </c>
      <c r="L25" s="149">
        <f t="shared" si="3"/>
        <v>55000000</v>
      </c>
      <c r="M25" s="149">
        <f t="shared" si="3"/>
        <v>61000000</v>
      </c>
      <c r="N25" s="149">
        <f t="shared" si="3"/>
        <v>64000000</v>
      </c>
      <c r="O25" s="149">
        <f t="shared" si="3"/>
        <v>68000000</v>
      </c>
      <c r="P25" s="270">
        <f>O25</f>
        <v>68000000</v>
      </c>
      <c r="Q25" s="150">
        <f>ROUND(Q8+Q23,-6)</f>
        <v>365000000</v>
      </c>
    </row>
    <row r="26" spans="1:17" s="116" customFormat="1" x14ac:dyDescent="0.2">
      <c r="C26" s="130"/>
      <c r="D26" s="130"/>
      <c r="E26" s="130"/>
      <c r="F26" s="130"/>
      <c r="G26" s="130"/>
      <c r="H26" s="130"/>
      <c r="I26" s="130"/>
      <c r="J26" s="130"/>
      <c r="K26" s="130"/>
      <c r="L26" s="130"/>
      <c r="M26" s="130"/>
      <c r="N26" s="130"/>
      <c r="O26" s="130"/>
    </row>
    <row r="27" spans="1:17" x14ac:dyDescent="0.2">
      <c r="C27" s="130"/>
      <c r="D27" s="130"/>
      <c r="E27" s="130"/>
      <c r="F27" s="130"/>
      <c r="G27" s="130"/>
      <c r="H27" s="130"/>
      <c r="I27" s="130"/>
      <c r="J27" s="130"/>
      <c r="K27" s="130"/>
      <c r="L27" s="130"/>
      <c r="M27" s="130"/>
      <c r="N27" s="130"/>
      <c r="O27" s="130"/>
    </row>
    <row r="28" spans="1:17" x14ac:dyDescent="0.2">
      <c r="C28" s="130"/>
      <c r="D28" s="130"/>
      <c r="E28" s="130"/>
      <c r="F28" s="130"/>
      <c r="G28" s="130"/>
      <c r="H28" s="130"/>
      <c r="I28" s="130"/>
      <c r="J28" s="130"/>
      <c r="K28" s="130"/>
      <c r="L28" s="130"/>
      <c r="M28" s="130"/>
      <c r="N28" s="130"/>
      <c r="O28" s="130"/>
    </row>
    <row r="29" spans="1:17" x14ac:dyDescent="0.2">
      <c r="C29" s="130"/>
      <c r="D29" s="130"/>
      <c r="E29" s="130"/>
      <c r="F29" s="130"/>
      <c r="G29" s="130"/>
      <c r="H29" s="130"/>
      <c r="I29" s="130"/>
      <c r="J29" s="130"/>
      <c r="K29" s="130"/>
      <c r="L29" s="130"/>
      <c r="M29" s="130"/>
      <c r="N29" s="130"/>
      <c r="O29" s="130"/>
    </row>
    <row r="30" spans="1:17" x14ac:dyDescent="0.2">
      <c r="C30" s="130"/>
      <c r="D30" s="130"/>
      <c r="E30" s="130"/>
      <c r="F30" s="130"/>
      <c r="G30" s="130"/>
      <c r="H30" s="130"/>
      <c r="I30" s="130"/>
      <c r="J30" s="130"/>
      <c r="K30" s="130"/>
      <c r="L30" s="130"/>
      <c r="M30" s="130"/>
      <c r="N30" s="130"/>
      <c r="O30" s="130"/>
    </row>
    <row r="31" spans="1:17" x14ac:dyDescent="0.2">
      <c r="C31" s="130"/>
      <c r="D31" s="130"/>
      <c r="E31" s="130"/>
      <c r="F31" s="130"/>
      <c r="G31" s="130"/>
      <c r="H31" s="130"/>
      <c r="I31" s="130"/>
      <c r="J31" s="130"/>
      <c r="K31" s="130"/>
      <c r="L31" s="130"/>
      <c r="M31" s="130"/>
      <c r="N31" s="130"/>
      <c r="O31" s="130"/>
    </row>
    <row r="32" spans="1:17" x14ac:dyDescent="0.2">
      <c r="C32" s="130"/>
      <c r="D32" s="130"/>
      <c r="E32" s="130"/>
      <c r="F32" s="130"/>
      <c r="G32" s="130"/>
      <c r="H32" s="130"/>
      <c r="I32" s="130"/>
      <c r="J32" s="130"/>
      <c r="K32" s="130"/>
      <c r="L32" s="130"/>
      <c r="M32" s="130"/>
      <c r="N32" s="130"/>
      <c r="O32" s="130"/>
    </row>
    <row r="33" spans="3:15" x14ac:dyDescent="0.2">
      <c r="C33" s="130"/>
      <c r="D33" s="130"/>
      <c r="E33" s="130"/>
      <c r="F33" s="130"/>
      <c r="G33" s="130"/>
      <c r="H33" s="130"/>
      <c r="I33" s="130"/>
      <c r="J33" s="130"/>
      <c r="K33" s="130"/>
      <c r="L33" s="130"/>
      <c r="M33" s="130"/>
      <c r="N33" s="130"/>
      <c r="O33" s="130"/>
    </row>
    <row r="34" spans="3:15" x14ac:dyDescent="0.2">
      <c r="C34" s="130"/>
      <c r="D34" s="130"/>
      <c r="E34" s="130"/>
      <c r="F34" s="130"/>
      <c r="G34" s="130"/>
      <c r="H34" s="130"/>
      <c r="I34" s="130"/>
      <c r="J34" s="130"/>
      <c r="K34" s="130"/>
      <c r="L34" s="130"/>
      <c r="M34" s="130"/>
      <c r="N34" s="130"/>
      <c r="O34" s="130"/>
    </row>
    <row r="35" spans="3:15" x14ac:dyDescent="0.2">
      <c r="C35" s="130"/>
      <c r="D35" s="130"/>
      <c r="E35" s="130"/>
      <c r="F35" s="130"/>
      <c r="G35" s="130"/>
      <c r="H35" s="130"/>
      <c r="I35" s="130"/>
      <c r="J35" s="130"/>
      <c r="K35" s="130"/>
      <c r="L35" s="130"/>
      <c r="M35" s="130"/>
      <c r="N35" s="130"/>
      <c r="O35" s="130"/>
    </row>
    <row r="36" spans="3:15" x14ac:dyDescent="0.2">
      <c r="C36" s="130"/>
      <c r="D36" s="130"/>
      <c r="E36" s="130"/>
      <c r="F36" s="130"/>
      <c r="G36" s="130"/>
      <c r="H36" s="130"/>
      <c r="I36" s="130"/>
      <c r="J36" s="130"/>
      <c r="K36" s="130"/>
      <c r="L36" s="130"/>
      <c r="M36" s="130"/>
      <c r="N36" s="130"/>
      <c r="O36" s="130"/>
    </row>
    <row r="37" spans="3:15" x14ac:dyDescent="0.2">
      <c r="C37" s="130"/>
      <c r="D37" s="130"/>
      <c r="E37" s="130"/>
      <c r="F37" s="130"/>
      <c r="G37" s="130"/>
      <c r="H37" s="130"/>
      <c r="I37" s="130"/>
      <c r="J37" s="130"/>
      <c r="K37" s="130"/>
      <c r="L37" s="130"/>
      <c r="M37" s="130"/>
      <c r="N37" s="130"/>
      <c r="O37" s="130"/>
    </row>
    <row r="38" spans="3:15" x14ac:dyDescent="0.2">
      <c r="C38" s="130"/>
      <c r="D38" s="130"/>
      <c r="E38" s="130"/>
      <c r="F38" s="130"/>
      <c r="G38" s="130"/>
      <c r="H38" s="130"/>
      <c r="I38" s="130"/>
      <c r="J38" s="130"/>
      <c r="K38" s="130"/>
      <c r="L38" s="130"/>
      <c r="M38" s="130"/>
      <c r="N38" s="130"/>
      <c r="O38" s="130"/>
    </row>
    <row r="39" spans="3:15" x14ac:dyDescent="0.2">
      <c r="C39" s="130"/>
      <c r="D39" s="130"/>
      <c r="E39" s="130"/>
      <c r="F39" s="130"/>
      <c r="G39" s="130"/>
      <c r="H39" s="130"/>
      <c r="I39" s="130"/>
      <c r="J39" s="130"/>
      <c r="K39" s="130"/>
      <c r="L39" s="130"/>
      <c r="M39" s="130"/>
      <c r="N39" s="130"/>
      <c r="O39" s="130"/>
    </row>
  </sheetData>
  <pageMargins left="0.75" right="0.75" top="1" bottom="1" header="0.5" footer="0.5"/>
  <pageSetup orientation="portrait"/>
  <headerFooter alignWithMargins="0">
    <oddHeader>&amp;L&amp;"arial unicode ms,Regular"&amp;8 Theranos Confidential</oddHeader>
    <oddFooter>&amp;L&amp;"arial unicode ms,Regular"&amp;8 Theranos Confidential</oddFooter>
    <evenHeader>&amp;L&amp;"arial unicode ms,Regular"&amp;8 Theranos Confidential</evenHeader>
    <evenFooter>&amp;L&amp;"arial unicode ms,Regular"&amp;8 Theranos Confidential</evenFooter>
    <firstHeader>&amp;L&amp;"arial unicode ms,Regular"&amp;8 Theranos Confidential</firstHeader>
    <firstFooter>&amp;L&amp;"arial unicode ms,Regular"&amp;8 Theranos Confidential</first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F59"/>
  <sheetViews>
    <sheetView workbookViewId="0">
      <selection activeCell="G9" sqref="G9"/>
    </sheetView>
  </sheetViews>
  <sheetFormatPr defaultColWidth="9" defaultRowHeight="15" x14ac:dyDescent="0.25"/>
  <cols>
    <col min="1" max="1" width="9.875" style="189" customWidth="1"/>
    <col min="2" max="2" width="24.5" style="189" customWidth="1"/>
    <col min="3" max="3" width="2" style="189" customWidth="1"/>
    <col min="4" max="4" width="14.25" style="189" customWidth="1"/>
    <col min="5" max="5" width="0.875" style="189" customWidth="1"/>
    <col min="6" max="16384" width="9" style="189"/>
  </cols>
  <sheetData>
    <row r="4" spans="1:5" s="205" customFormat="1" x14ac:dyDescent="0.25">
      <c r="A4" s="287" t="s">
        <v>69</v>
      </c>
      <c r="B4" s="287"/>
      <c r="C4" s="287"/>
      <c r="D4" s="287"/>
      <c r="E4" s="287"/>
    </row>
    <row r="5" spans="1:5" s="205" customFormat="1" ht="20.100000000000001" customHeight="1" x14ac:dyDescent="0.25">
      <c r="A5" s="288" t="s">
        <v>126</v>
      </c>
      <c r="B5" s="288"/>
      <c r="C5" s="288"/>
      <c r="D5" s="288"/>
      <c r="E5" s="288"/>
    </row>
    <row r="7" spans="1:5" x14ac:dyDescent="0.25">
      <c r="D7" s="204">
        <v>41647</v>
      </c>
    </row>
    <row r="8" spans="1:5" x14ac:dyDescent="0.25">
      <c r="D8" s="203" t="s">
        <v>70</v>
      </c>
    </row>
    <row r="9" spans="1:5" x14ac:dyDescent="0.25">
      <c r="A9" s="193" t="s">
        <v>71</v>
      </c>
    </row>
    <row r="10" spans="1:5" x14ac:dyDescent="0.25">
      <c r="A10" s="196" t="s">
        <v>72</v>
      </c>
      <c r="D10" s="199">
        <v>104837</v>
      </c>
    </row>
    <row r="11" spans="1:5" x14ac:dyDescent="0.25">
      <c r="A11" s="196" t="s">
        <v>125</v>
      </c>
      <c r="D11" s="194">
        <v>25000</v>
      </c>
    </row>
    <row r="12" spans="1:5" x14ac:dyDescent="0.25">
      <c r="A12" s="196" t="s">
        <v>73</v>
      </c>
      <c r="D12" s="194">
        <v>7820</v>
      </c>
    </row>
    <row r="13" spans="1:5" x14ac:dyDescent="0.25">
      <c r="A13" s="196" t="s">
        <v>74</v>
      </c>
      <c r="D13" s="194">
        <v>3141</v>
      </c>
    </row>
    <row r="14" spans="1:5" ht="15.75" thickBot="1" x14ac:dyDescent="0.3">
      <c r="A14" s="193" t="s">
        <v>75</v>
      </c>
      <c r="D14" s="202">
        <f>SUM(D10:D13)</f>
        <v>140798</v>
      </c>
      <c r="E14" s="197"/>
    </row>
    <row r="15" spans="1:5" ht="15.75" thickTop="1" x14ac:dyDescent="0.25">
      <c r="D15" s="194"/>
    </row>
    <row r="16" spans="1:5" x14ac:dyDescent="0.25">
      <c r="A16" s="201" t="s">
        <v>76</v>
      </c>
      <c r="D16" s="194">
        <v>21213</v>
      </c>
      <c r="E16" s="190"/>
    </row>
    <row r="17" spans="1:6" x14ac:dyDescent="0.25">
      <c r="A17" s="201" t="s">
        <v>124</v>
      </c>
      <c r="D17" s="194">
        <v>26571</v>
      </c>
      <c r="E17" s="190"/>
    </row>
    <row r="19" spans="1:6" ht="15.75" thickBot="1" x14ac:dyDescent="0.3">
      <c r="A19" s="193" t="s">
        <v>77</v>
      </c>
      <c r="D19" s="200">
        <f>D14+D16+D17</f>
        <v>188582</v>
      </c>
    </row>
    <row r="20" spans="1:6" ht="15.75" thickTop="1" x14ac:dyDescent="0.25"/>
    <row r="21" spans="1:6" x14ac:dyDescent="0.25">
      <c r="A21" s="193"/>
    </row>
    <row r="22" spans="1:6" x14ac:dyDescent="0.25">
      <c r="A22" s="193" t="s">
        <v>78</v>
      </c>
    </row>
    <row r="23" spans="1:6" x14ac:dyDescent="0.25">
      <c r="A23" s="196" t="s">
        <v>79</v>
      </c>
      <c r="D23" s="199">
        <v>4758</v>
      </c>
    </row>
    <row r="24" spans="1:6" x14ac:dyDescent="0.25">
      <c r="A24" s="196" t="s">
        <v>80</v>
      </c>
      <c r="D24" s="195">
        <v>5858</v>
      </c>
    </row>
    <row r="25" spans="1:6" x14ac:dyDescent="0.25">
      <c r="A25" s="193" t="s">
        <v>81</v>
      </c>
      <c r="D25" s="198">
        <f>SUM(D23:D24)</f>
        <v>10616</v>
      </c>
    </row>
    <row r="27" spans="1:6" x14ac:dyDescent="0.25">
      <c r="A27" s="196" t="s">
        <v>82</v>
      </c>
      <c r="D27" s="194">
        <v>183808</v>
      </c>
    </row>
    <row r="28" spans="1:6" x14ac:dyDescent="0.25">
      <c r="A28" s="196" t="s">
        <v>123</v>
      </c>
      <c r="D28" s="194"/>
    </row>
    <row r="29" spans="1:6" x14ac:dyDescent="0.25">
      <c r="A29" s="196" t="s">
        <v>122</v>
      </c>
      <c r="D29" s="194"/>
    </row>
    <row r="30" spans="1:6" x14ac:dyDescent="0.25">
      <c r="A30" s="196" t="s">
        <v>83</v>
      </c>
      <c r="D30" s="194">
        <v>16919</v>
      </c>
      <c r="F30" s="190"/>
    </row>
    <row r="31" spans="1:6" x14ac:dyDescent="0.25">
      <c r="A31" s="196" t="s">
        <v>84</v>
      </c>
      <c r="D31" s="195">
        <v>1822</v>
      </c>
    </row>
    <row r="32" spans="1:6" x14ac:dyDescent="0.25">
      <c r="A32" s="193" t="s">
        <v>85</v>
      </c>
      <c r="D32" s="194">
        <f>SUM(D25:D31)</f>
        <v>213165</v>
      </c>
      <c r="E32" s="197"/>
    </row>
    <row r="34" spans="1:5" x14ac:dyDescent="0.25">
      <c r="A34" s="196" t="s">
        <v>86</v>
      </c>
      <c r="D34" s="194">
        <v>19806</v>
      </c>
      <c r="E34" s="190"/>
    </row>
    <row r="35" spans="1:5" x14ac:dyDescent="0.25">
      <c r="A35" s="196" t="s">
        <v>87</v>
      </c>
      <c r="D35" s="194">
        <v>206138</v>
      </c>
    </row>
    <row r="36" spans="1:5" x14ac:dyDescent="0.25">
      <c r="A36" s="196" t="s">
        <v>88</v>
      </c>
      <c r="D36" s="195">
        <v>-250527</v>
      </c>
      <c r="E36" s="190"/>
    </row>
    <row r="37" spans="1:5" x14ac:dyDescent="0.25">
      <c r="A37" s="193" t="s">
        <v>89</v>
      </c>
      <c r="D37" s="194">
        <f>SUM(D34:D36)</f>
        <v>-24583</v>
      </c>
    </row>
    <row r="38" spans="1:5" x14ac:dyDescent="0.25">
      <c r="A38" s="193"/>
      <c r="D38" s="194"/>
    </row>
    <row r="39" spans="1:5" ht="15.75" thickBot="1" x14ac:dyDescent="0.3">
      <c r="A39" s="193" t="s">
        <v>90</v>
      </c>
      <c r="D39" s="192">
        <f>D32+D37</f>
        <v>188582</v>
      </c>
    </row>
    <row r="40" spans="1:5" ht="15.75" thickTop="1" x14ac:dyDescent="0.25">
      <c r="D40" s="191"/>
    </row>
    <row r="43" spans="1:5" x14ac:dyDescent="0.25">
      <c r="A43" s="193" t="s">
        <v>132</v>
      </c>
    </row>
    <row r="44" spans="1:5" x14ac:dyDescent="0.25">
      <c r="A44" s="193"/>
      <c r="B44" s="193" t="s">
        <v>144</v>
      </c>
    </row>
    <row r="45" spans="1:5" x14ac:dyDescent="0.25">
      <c r="A45" s="193"/>
      <c r="B45" s="193"/>
    </row>
    <row r="46" spans="1:5" x14ac:dyDescent="0.25">
      <c r="B46" s="269" t="s">
        <v>143</v>
      </c>
      <c r="C46" s="271" t="s">
        <v>153</v>
      </c>
    </row>
    <row r="47" spans="1:5" x14ac:dyDescent="0.25">
      <c r="C47" s="207" t="s">
        <v>137</v>
      </c>
    </row>
    <row r="48" spans="1:5" x14ac:dyDescent="0.25">
      <c r="C48" s="207" t="s">
        <v>138</v>
      </c>
    </row>
    <row r="49" spans="2:3" x14ac:dyDescent="0.25">
      <c r="B49" s="269" t="s">
        <v>145</v>
      </c>
      <c r="C49" s="271" t="s">
        <v>156</v>
      </c>
    </row>
    <row r="50" spans="2:3" x14ac:dyDescent="0.25">
      <c r="B50" s="193"/>
      <c r="C50" s="207" t="s">
        <v>146</v>
      </c>
    </row>
    <row r="51" spans="2:3" x14ac:dyDescent="0.25">
      <c r="B51" s="193"/>
      <c r="C51" s="207" t="s">
        <v>147</v>
      </c>
    </row>
    <row r="52" spans="2:3" x14ac:dyDescent="0.25">
      <c r="B52" s="193"/>
      <c r="C52" s="207" t="s">
        <v>139</v>
      </c>
    </row>
    <row r="53" spans="2:3" x14ac:dyDescent="0.25">
      <c r="B53" s="269" t="s">
        <v>134</v>
      </c>
      <c r="C53" s="271" t="s">
        <v>157</v>
      </c>
    </row>
    <row r="54" spans="2:3" x14ac:dyDescent="0.25">
      <c r="B54" s="269" t="s">
        <v>133</v>
      </c>
      <c r="C54" s="271" t="s">
        <v>155</v>
      </c>
    </row>
    <row r="55" spans="2:3" x14ac:dyDescent="0.25">
      <c r="B55" s="269" t="s">
        <v>140</v>
      </c>
      <c r="C55" s="207" t="s">
        <v>141</v>
      </c>
    </row>
    <row r="56" spans="2:3" x14ac:dyDescent="0.25">
      <c r="B56" s="269" t="s">
        <v>142</v>
      </c>
      <c r="C56" s="271" t="s">
        <v>158</v>
      </c>
    </row>
    <row r="57" spans="2:3" x14ac:dyDescent="0.25">
      <c r="B57" s="269" t="s">
        <v>148</v>
      </c>
      <c r="C57" s="271" t="s">
        <v>154</v>
      </c>
    </row>
    <row r="58" spans="2:3" x14ac:dyDescent="0.25">
      <c r="B58" s="269"/>
    </row>
    <row r="59" spans="2:3" x14ac:dyDescent="0.25">
      <c r="B59" s="193"/>
    </row>
  </sheetData>
  <mergeCells count="2">
    <mergeCell ref="A4:E4"/>
    <mergeCell ref="A5:E5"/>
  </mergeCells>
  <pageMargins left="0.7" right="0.7" top="0.75" bottom="0.75" header="0.3" footer="0.3"/>
  <pageSetup orientation="portrait"/>
  <headerFooter>
    <oddHeader>&amp;L&amp;"arial unicode ms,Regular"&amp;8 Theranos Confidential</oddHeader>
    <oddFooter>&amp;L&amp;"arial unicode ms,Regular"&amp;8 Theranos Confidential</oddFooter>
    <evenHeader>&amp;L&amp;"arial unicode ms,Regular"&amp;8 Theranos Confidential</evenHeader>
    <evenFooter>&amp;L&amp;"arial unicode ms,Regular"&amp;8 Theranos Confidential</evenFooter>
    <firstHeader>&amp;L&amp;"arial unicode ms,Regular"&amp;8 Theranos Confidential</firstHeader>
    <firstFooter>&amp;L&amp;"arial unicode ms,Regular"&amp;8 Theranos Confidential</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13</vt:i4>
      </vt:variant>
    </vt:vector>
  </HeadingPairs>
  <TitlesOfParts>
    <vt:vector size="18" baseType="lpstr">
      <vt:lpstr>Macro Assumptions</vt:lpstr>
      <vt:lpstr>Theranos Market Assumptions</vt:lpstr>
      <vt:lpstr>Proforma IncomeStmt</vt:lpstr>
      <vt:lpstr>Summary Cashflow Stmt</vt:lpstr>
      <vt:lpstr>Balance Sheet</vt:lpstr>
      <vt:lpstr>AVG_RUNTIME_G1</vt:lpstr>
      <vt:lpstr>AVG_RUNTIME_G2</vt:lpstr>
      <vt:lpstr>D_DAY_RATE_RX_2015</vt:lpstr>
      <vt:lpstr>DEPRECIATION</vt:lpstr>
      <vt:lpstr>DEVICE_COST</vt:lpstr>
      <vt:lpstr>DEVICE_COST_HIGH_V</vt:lpstr>
      <vt:lpstr>DEVICE_DEPRECIATION</vt:lpstr>
      <vt:lpstr>HOSPITAL_NUM_ML_2015</vt:lpstr>
      <vt:lpstr>ICU_ER_PANEL_PRICE</vt:lpstr>
      <vt:lpstr>MANUF_MINILAB</vt:lpstr>
      <vt:lpstr>'Theranos Market Assumptions'!Print_Area</vt:lpstr>
      <vt:lpstr>RX_COGS</vt:lpstr>
      <vt:lpstr>RX_SALES_PRICE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Adams-Sherman, Timika</dc:creator>
  <cp:lastModifiedBy>Adams-Sherman, Timika</cp:lastModifiedBy>
  <dcterms:created xsi:type="dcterms:W3CDTF">2021-10-31T00:23:42Z</dcterms:created>
  <dcterms:modified xsi:type="dcterms:W3CDTF">2021-10-31T00:23:44Z</dcterms:modified>
</cp:coreProperties>
</file>