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00" windowHeight="11640" activeTab="0"/>
  </bookViews>
  <sheets>
    <sheet name="Assump" sheetId="1" r:id="rId1"/>
    <sheet name="IS" sheetId="2" r:id="rId2"/>
    <sheet name="BS" sheetId="3" r:id="rId3"/>
    <sheet name="CF" sheetId="4" r:id="rId4"/>
    <sheet name="IS-Qtr" sheetId="5" r:id="rId5"/>
    <sheet name="BS-Qtr" sheetId="6" r:id="rId6"/>
    <sheet name="CF-Qtr" sheetId="7" r:id="rId7"/>
  </sheets>
  <externalReferences>
    <externalReference r:id="rId10"/>
  </externalReferences>
  <definedNames>
    <definedName name="_xlnm.Print_Titles" localSheetId="0">'Assump'!$A:$D</definedName>
    <definedName name="_xlnm.Print_Titles" localSheetId="2">'BS'!$A:$B</definedName>
    <definedName name="_xlnm.Print_Titles" localSheetId="3">'CF'!$B:$B</definedName>
    <definedName name="_xlnm.Print_Titles" localSheetId="1">'IS'!$A:$B</definedName>
  </definedNames>
  <calcPr fullCalcOnLoad="1"/>
</workbook>
</file>

<file path=xl/sharedStrings.xml><?xml version="1.0" encoding="utf-8"?>
<sst xmlns="http://schemas.openxmlformats.org/spreadsheetml/2006/main" count="253" uniqueCount="122">
  <si>
    <t>Theranos, Inc.</t>
  </si>
  <si>
    <t>Calendar Year - 2008</t>
  </si>
  <si>
    <t>Revenue</t>
  </si>
  <si>
    <t>Readers -- Well</t>
  </si>
  <si>
    <t>Cartridges -- Well</t>
  </si>
  <si>
    <t>Well</t>
  </si>
  <si>
    <t>Database</t>
  </si>
  <si>
    <t>Price</t>
  </si>
  <si>
    <t xml:space="preserve">  Quantity</t>
  </si>
  <si>
    <t xml:space="preserve">  Revenue</t>
  </si>
  <si>
    <t>Total Revenue</t>
  </si>
  <si>
    <t>Cost</t>
  </si>
  <si>
    <t>Cost of Goods</t>
  </si>
  <si>
    <t>Total Cost of Goods</t>
  </si>
  <si>
    <t>Research and Development</t>
  </si>
  <si>
    <t>General and Administrative</t>
  </si>
  <si>
    <t xml:space="preserve"> </t>
  </si>
  <si>
    <t>Total Cost of Readers</t>
  </si>
  <si>
    <t>Operating Expenses</t>
  </si>
  <si>
    <t>Total Operating Expenses</t>
  </si>
  <si>
    <t>Gross Profit</t>
  </si>
  <si>
    <t xml:space="preserve">  New</t>
  </si>
  <si>
    <t xml:space="preserve">  Total # Manufactured</t>
  </si>
  <si>
    <t xml:space="preserve">Readers -- </t>
  </si>
  <si>
    <t xml:space="preserve">  Cost of Cartridges</t>
  </si>
  <si>
    <t xml:space="preserve">  Cost of Readers</t>
  </si>
  <si>
    <t xml:space="preserve">  Cost of Service</t>
  </si>
  <si>
    <t xml:space="preserve">  Total # In Service</t>
  </si>
  <si>
    <t xml:space="preserve">  Out for Service</t>
  </si>
  <si>
    <t>August - December - 2007</t>
  </si>
  <si>
    <t>Income Statement_Theranos (Projections)</t>
  </si>
  <si>
    <t>Figures in US Dollars</t>
  </si>
  <si>
    <t>Costs of Goods Sold</t>
  </si>
  <si>
    <t>Gross profit</t>
  </si>
  <si>
    <t>R &amp; D</t>
  </si>
  <si>
    <t>General and administrative expenses</t>
  </si>
  <si>
    <t>Balance Sheet _Theranos (Projections)</t>
  </si>
  <si>
    <t>ASSETS</t>
  </si>
  <si>
    <t>Cash &amp; Cash Equivalents</t>
  </si>
  <si>
    <t>Restricted cash</t>
  </si>
  <si>
    <t>Accounts receivable</t>
  </si>
  <si>
    <t>Other current assets</t>
  </si>
  <si>
    <t xml:space="preserve">Total Current Assets </t>
  </si>
  <si>
    <t>Gross Assets</t>
  </si>
  <si>
    <t>Accumulated Depreciation</t>
  </si>
  <si>
    <t>Net fixed assets</t>
  </si>
  <si>
    <t>Other Assets</t>
  </si>
  <si>
    <t>TOTAL ASSETS</t>
  </si>
  <si>
    <t>LIABILITIES</t>
  </si>
  <si>
    <t>Accounts Payable</t>
  </si>
  <si>
    <t>Accrued Expenses and related liabilities</t>
  </si>
  <si>
    <t>Deferred revenue</t>
  </si>
  <si>
    <t>Total Current Liabilities</t>
  </si>
  <si>
    <t xml:space="preserve">Long term Debt </t>
  </si>
  <si>
    <t>TOTAL LIABILITIES</t>
  </si>
  <si>
    <t>SHAREHOLDER'S EQUITY (DEFICIT)</t>
  </si>
  <si>
    <t xml:space="preserve">Preferred Stock </t>
  </si>
  <si>
    <t>Common stock</t>
  </si>
  <si>
    <t>Additional paid in capital</t>
  </si>
  <si>
    <t>Retained earnings( accumulated deficit)</t>
  </si>
  <si>
    <t>Other comprehensive loss</t>
  </si>
  <si>
    <t>Total shareholders equity</t>
  </si>
  <si>
    <t>Total Liabilities &amp; Shareholder's Equity</t>
  </si>
  <si>
    <t>Check</t>
  </si>
  <si>
    <t>Balance sheet assumptions</t>
  </si>
  <si>
    <t>Accounts receivable forecast</t>
  </si>
  <si>
    <t>As a % of revenues</t>
  </si>
  <si>
    <t>Inventory - cartridges</t>
  </si>
  <si>
    <t xml:space="preserve">Accounts payable </t>
  </si>
  <si>
    <t xml:space="preserve">Accrued liabilities </t>
  </si>
  <si>
    <t>Cashflow_Theranos,Inc.</t>
  </si>
  <si>
    <t>OPERATING ACTIVITIES</t>
  </si>
  <si>
    <t>Net Profit / (Loss)</t>
  </si>
  <si>
    <t>Depreciation</t>
  </si>
  <si>
    <t>Non-cash interest</t>
  </si>
  <si>
    <t>FV of warrants expenses</t>
  </si>
  <si>
    <t>Stock-based compensation</t>
  </si>
  <si>
    <t>Changes in assets and liabilities</t>
  </si>
  <si>
    <t>Other assets</t>
  </si>
  <si>
    <t>Accounts payable</t>
  </si>
  <si>
    <t>Deferred revenues</t>
  </si>
  <si>
    <t>Cash Provided by/(used in) Operations</t>
  </si>
  <si>
    <t>INVESTING ACTIVITIES</t>
  </si>
  <si>
    <t>Sale (purchase)  of property and equipment</t>
  </si>
  <si>
    <t>(Increase) decrease in restricted cash</t>
  </si>
  <si>
    <t>Net Cash provided (used)  by investing activities</t>
  </si>
  <si>
    <t>FINANCING ACTIVITIES</t>
  </si>
  <si>
    <t xml:space="preserve">Proceeds(re-payment) of long term debt </t>
  </si>
  <si>
    <t>Proceeds from issuance of Preferred Stock</t>
  </si>
  <si>
    <t>Proceeds from issuance of Common Stock</t>
  </si>
  <si>
    <t>Proceeds from Exercise of Warrants/Options</t>
  </si>
  <si>
    <t>Proceeds (Payments) - Notes Payable</t>
  </si>
  <si>
    <t>Net Cash from Financing Activities</t>
  </si>
  <si>
    <t>Increase (Decrease) in Cash &amp; Cash Equivalents</t>
  </si>
  <si>
    <t xml:space="preserve">Revenue </t>
  </si>
  <si>
    <t>Aug-07</t>
  </si>
  <si>
    <t>Sept-07</t>
  </si>
  <si>
    <t>Oct-07</t>
  </si>
  <si>
    <t>Nov-07</t>
  </si>
  <si>
    <t>Dec-07</t>
  </si>
  <si>
    <t xml:space="preserve">  Amortization</t>
  </si>
  <si>
    <t>Operating Profit</t>
  </si>
  <si>
    <t>Cash &amp; Cash Equivalents, Beginning of the period</t>
  </si>
  <si>
    <t>Cash &amp; Cash Equivalents, End of the period</t>
  </si>
  <si>
    <t>Jul-07</t>
  </si>
  <si>
    <t>Leased readers</t>
  </si>
  <si>
    <t>Leased readers less amort</t>
  </si>
  <si>
    <t>Inventory turns - every 1 month</t>
  </si>
  <si>
    <t>Days outst</t>
  </si>
  <si>
    <t>Inventories-cartridges</t>
  </si>
  <si>
    <t>Inventory-cartridges</t>
  </si>
  <si>
    <t>Q4-07</t>
  </si>
  <si>
    <t>Q1-08</t>
  </si>
  <si>
    <t>Q2-08</t>
  </si>
  <si>
    <t>Q3-08</t>
  </si>
  <si>
    <t>Q4-08</t>
  </si>
  <si>
    <t>Based on total operating expenses, reader and cartridge cost</t>
  </si>
  <si>
    <t>As a % total operating expenses</t>
  </si>
  <si>
    <t>Long term debt</t>
  </si>
  <si>
    <t>Available loan at 75% of A/R</t>
  </si>
  <si>
    <t>FY 2007</t>
  </si>
  <si>
    <t>FY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</si>
</sst>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_);_(&quot;$&quot;* \(#,##0\);_(&quot;$&quot;* &quot;-&quot;??_);_(@_)"/>
    <numFmt numFmtId="170" formatCode="0.000%"/>
    <numFmt numFmtId="171" formatCode="mmm\-yyyy"/>
    <numFmt numFmtId="172" formatCode="[$-409]dddd\,\ mmmm\ dd\,\ yyyy"/>
    <numFmt numFmtId="173" formatCode="[$-409]mmm\-yy;@"/>
    <numFmt numFmtId="174" formatCode="0.0"/>
    <numFmt numFmtId="175" formatCode="_(&quot;$&quot;* #,##0.0_);_(&quot;$&quot;* \(#,##0.0\);_(&quot;$&quot;* &quot;-&quot;??_);_(@_)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20"/>
      <color indexed="9"/>
      <name val="Tohoma"/>
      <family val="0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0"/>
      <color indexed="13"/>
      <name val="Arial"/>
      <family val="2"/>
    </font>
    <font>
      <sz val="10"/>
      <color indexed="13"/>
      <name val="Tahoma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7" fontId="3" fillId="0" borderId="0" xfId="42" applyNumberFormat="1" applyFont="1" applyAlignment="1">
      <alignment/>
    </xf>
    <xf numFmtId="167" fontId="3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7" fontId="0" fillId="33" borderId="0" xfId="42" applyNumberFormat="1" applyFill="1" applyBorder="1" applyAlignment="1">
      <alignment/>
    </xf>
    <xf numFmtId="167" fontId="0" fillId="33" borderId="15" xfId="42" applyNumberFormat="1" applyFill="1" applyBorder="1" applyAlignment="1">
      <alignment/>
    </xf>
    <xf numFmtId="0" fontId="9" fillId="33" borderId="0" xfId="0" applyFont="1" applyFill="1" applyAlignment="1">
      <alignment/>
    </xf>
    <xf numFmtId="167" fontId="9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68" fontId="10" fillId="33" borderId="0" xfId="59" applyNumberFormat="1" applyFont="1" applyFill="1" applyBorder="1" applyAlignment="1">
      <alignment/>
    </xf>
    <xf numFmtId="168" fontId="10" fillId="33" borderId="15" xfId="59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9" fontId="0" fillId="33" borderId="0" xfId="44" applyNumberFormat="1" applyFont="1" applyFill="1" applyBorder="1" applyAlignment="1">
      <alignment horizontal="left"/>
    </xf>
    <xf numFmtId="0" fontId="9" fillId="35" borderId="14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67" fontId="9" fillId="35" borderId="0" xfId="42" applyNumberFormat="1" applyFont="1" applyFill="1" applyBorder="1" applyAlignment="1">
      <alignment/>
    </xf>
    <xf numFmtId="167" fontId="9" fillId="35" borderId="15" xfId="42" applyNumberFormat="1" applyFont="1" applyFill="1" applyBorder="1" applyAlignment="1">
      <alignment/>
    </xf>
    <xf numFmtId="10" fontId="0" fillId="33" borderId="0" xfId="59" applyNumberFormat="1" applyFill="1" applyBorder="1" applyAlignment="1">
      <alignment/>
    </xf>
    <xf numFmtId="10" fontId="0" fillId="33" borderId="15" xfId="59" applyNumberFormat="1" applyFill="1" applyBorder="1" applyAlignment="1">
      <alignment/>
    </xf>
    <xf numFmtId="9" fontId="0" fillId="33" borderId="0" xfId="59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8" fontId="10" fillId="33" borderId="17" xfId="59" applyNumberFormat="1" applyFont="1" applyFill="1" applyBorder="1" applyAlignment="1">
      <alignment/>
    </xf>
    <xf numFmtId="168" fontId="10" fillId="33" borderId="18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2" fillId="33" borderId="0" xfId="0" applyFont="1" applyFill="1" applyAlignment="1">
      <alignment/>
    </xf>
    <xf numFmtId="0" fontId="13" fillId="34" borderId="13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7" fontId="0" fillId="33" borderId="21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167" fontId="9" fillId="35" borderId="23" xfId="42" applyNumberFormat="1" applyFont="1" applyFill="1" applyBorder="1" applyAlignment="1">
      <alignment/>
    </xf>
    <xf numFmtId="0" fontId="0" fillId="33" borderId="20" xfId="0" applyFont="1" applyFill="1" applyBorder="1" applyAlignment="1">
      <alignment horizontal="left" indent="2"/>
    </xf>
    <xf numFmtId="0" fontId="0" fillId="33" borderId="0" xfId="0" applyFont="1" applyFill="1" applyBorder="1" applyAlignment="1">
      <alignment horizontal="left" indent="2"/>
    </xf>
    <xf numFmtId="0" fontId="15" fillId="33" borderId="20" xfId="0" applyFont="1" applyFill="1" applyBorder="1" applyAlignment="1">
      <alignment/>
    </xf>
    <xf numFmtId="167" fontId="16" fillId="33" borderId="0" xfId="42" applyNumberFormat="1" applyFont="1" applyFill="1" applyBorder="1" applyAlignment="1">
      <alignment/>
    </xf>
    <xf numFmtId="0" fontId="14" fillId="33" borderId="24" xfId="0" applyFont="1" applyFill="1" applyBorder="1" applyAlignment="1">
      <alignment/>
    </xf>
    <xf numFmtId="167" fontId="16" fillId="33" borderId="24" xfId="42" applyNumberFormat="1" applyFont="1" applyFill="1" applyBorder="1" applyAlignment="1">
      <alignment/>
    </xf>
    <xf numFmtId="167" fontId="0" fillId="33" borderId="24" xfId="42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167" fontId="14" fillId="35" borderId="23" xfId="42" applyNumberFormat="1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7" fontId="9" fillId="35" borderId="10" xfId="42" applyNumberFormat="1" applyFont="1" applyFill="1" applyBorder="1" applyAlignment="1">
      <alignment/>
    </xf>
    <xf numFmtId="4" fontId="17" fillId="36" borderId="26" xfId="42" applyNumberFormat="1" applyFont="1" applyFill="1" applyBorder="1" applyAlignment="1">
      <alignment/>
    </xf>
    <xf numFmtId="4" fontId="17" fillId="36" borderId="17" xfId="42" applyNumberFormat="1" applyFont="1" applyFill="1" applyBorder="1" applyAlignment="1">
      <alignment/>
    </xf>
    <xf numFmtId="4" fontId="18" fillId="36" borderId="17" xfId="42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33" borderId="0" xfId="59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0" fillId="33" borderId="26" xfId="0" applyFill="1" applyBorder="1" applyAlignment="1">
      <alignment/>
    </xf>
    <xf numFmtId="170" fontId="0" fillId="33" borderId="0" xfId="59" applyNumberFormat="1" applyFill="1" applyAlignment="1">
      <alignment/>
    </xf>
    <xf numFmtId="170" fontId="0" fillId="33" borderId="0" xfId="0" applyNumberFormat="1" applyFill="1" applyAlignment="1">
      <alignment/>
    </xf>
    <xf numFmtId="0" fontId="19" fillId="33" borderId="0" xfId="0" applyFont="1" applyFill="1" applyAlignment="1">
      <alignment/>
    </xf>
    <xf numFmtId="39" fontId="14" fillId="33" borderId="2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9" fontId="0" fillId="33" borderId="20" xfId="0" applyNumberFormat="1" applyFont="1" applyFill="1" applyBorder="1" applyAlignment="1">
      <alignment horizontal="left" indent="2"/>
    </xf>
    <xf numFmtId="39" fontId="9" fillId="33" borderId="20" xfId="0" applyNumberFormat="1" applyFont="1" applyFill="1" applyBorder="1" applyAlignment="1">
      <alignment horizontal="left"/>
    </xf>
    <xf numFmtId="39" fontId="14" fillId="35" borderId="22" xfId="0" applyNumberFormat="1" applyFont="1" applyFill="1" applyBorder="1" applyAlignment="1">
      <alignment/>
    </xf>
    <xf numFmtId="39" fontId="16" fillId="33" borderId="20" xfId="0" applyNumberFormat="1" applyFont="1" applyFill="1" applyBorder="1" applyAlignment="1">
      <alignment/>
    </xf>
    <xf numFmtId="39" fontId="14" fillId="33" borderId="27" xfId="0" applyNumberFormat="1" applyFont="1" applyFill="1" applyBorder="1" applyAlignment="1">
      <alignment/>
    </xf>
    <xf numFmtId="167" fontId="0" fillId="33" borderId="28" xfId="42" applyNumberFormat="1" applyFill="1" applyBorder="1" applyAlignment="1">
      <alignment/>
    </xf>
    <xf numFmtId="39" fontId="0" fillId="33" borderId="20" xfId="0" applyNumberFormat="1" applyFont="1" applyFill="1" applyBorder="1" applyAlignment="1">
      <alignment/>
    </xf>
    <xf numFmtId="39" fontId="14" fillId="35" borderId="25" xfId="0" applyNumberFormat="1" applyFont="1" applyFill="1" applyBorder="1" applyAlignment="1">
      <alignment/>
    </xf>
    <xf numFmtId="167" fontId="9" fillId="35" borderId="29" xfId="42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167" fontId="0" fillId="35" borderId="10" xfId="42" applyNumberFormat="1" applyFill="1" applyBorder="1" applyAlignment="1">
      <alignment/>
    </xf>
    <xf numFmtId="39" fontId="9" fillId="33" borderId="31" xfId="0" applyNumberFormat="1" applyFont="1" applyFill="1" applyBorder="1" applyAlignment="1">
      <alignment/>
    </xf>
    <xf numFmtId="167" fontId="0" fillId="33" borderId="32" xfId="42" applyNumberFormat="1" applyFill="1" applyBorder="1" applyAlignment="1">
      <alignment/>
    </xf>
    <xf numFmtId="39" fontId="0" fillId="37" borderId="20" xfId="0" applyNumberFormat="1" applyFont="1" applyFill="1" applyBorder="1" applyAlignment="1">
      <alignment/>
    </xf>
    <xf numFmtId="167" fontId="0" fillId="37" borderId="0" xfId="42" applyNumberFormat="1" applyFill="1" applyBorder="1" applyAlignment="1">
      <alignment/>
    </xf>
    <xf numFmtId="0" fontId="9" fillId="33" borderId="33" xfId="0" applyFont="1" applyFill="1" applyBorder="1" applyAlignment="1">
      <alignment/>
    </xf>
    <xf numFmtId="167" fontId="0" fillId="33" borderId="34" xfId="42" applyNumberFormat="1" applyFont="1" applyFill="1" applyBorder="1" applyAlignment="1">
      <alignment/>
    </xf>
    <xf numFmtId="167" fontId="0" fillId="33" borderId="0" xfId="42" applyNumberFormat="1" applyFill="1" applyAlignment="1">
      <alignment/>
    </xf>
    <xf numFmtId="16" fontId="8" fillId="34" borderId="13" xfId="0" applyNumberFormat="1" applyFont="1" applyFill="1" applyBorder="1" applyAlignment="1" quotePrefix="1">
      <alignment horizontal="right"/>
    </xf>
    <xf numFmtId="173" fontId="8" fillId="34" borderId="13" xfId="0" applyNumberFormat="1" applyFont="1" applyFill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173" fontId="8" fillId="34" borderId="35" xfId="0" applyNumberFormat="1" applyFont="1" applyFill="1" applyBorder="1" applyAlignment="1" quotePrefix="1">
      <alignment horizontal="right"/>
    </xf>
    <xf numFmtId="0" fontId="8" fillId="34" borderId="13" xfId="0" applyFont="1" applyFill="1" applyBorder="1" applyAlignment="1" quotePrefix="1">
      <alignment horizontal="center"/>
    </xf>
    <xf numFmtId="43" fontId="0" fillId="33" borderId="0" xfId="42" applyFill="1" applyBorder="1" applyAlignment="1">
      <alignment/>
    </xf>
    <xf numFmtId="167" fontId="22" fillId="33" borderId="0" xfId="42" applyNumberFormat="1" applyFont="1" applyFill="1" applyBorder="1" applyAlignment="1">
      <alignment/>
    </xf>
    <xf numFmtId="16" fontId="8" fillId="34" borderId="13" xfId="0" applyNumberFormat="1" applyFont="1" applyFill="1" applyBorder="1" applyAlignment="1">
      <alignment horizontal="right"/>
    </xf>
    <xf numFmtId="173" fontId="8" fillId="34" borderId="13" xfId="0" applyNumberFormat="1" applyFont="1" applyFill="1" applyBorder="1" applyAlignment="1">
      <alignment horizontal="right"/>
    </xf>
    <xf numFmtId="167" fontId="9" fillId="33" borderId="15" xfId="42" applyNumberFormat="1" applyFont="1" applyFill="1" applyBorder="1" applyAlignment="1">
      <alignment/>
    </xf>
    <xf numFmtId="0" fontId="9" fillId="0" borderId="0" xfId="0" applyFont="1" applyAlignment="1">
      <alignment/>
    </xf>
    <xf numFmtId="167" fontId="0" fillId="0" borderId="0" xfId="0" applyNumberFormat="1" applyAlignment="1">
      <alignment/>
    </xf>
    <xf numFmtId="173" fontId="8" fillId="34" borderId="35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167" fontId="9" fillId="35" borderId="37" xfId="42" applyNumberFormat="1" applyFont="1" applyFill="1" applyBorder="1" applyAlignment="1">
      <alignment/>
    </xf>
    <xf numFmtId="167" fontId="0" fillId="33" borderId="38" xfId="42" applyNumberFormat="1" applyFill="1" applyBorder="1" applyAlignment="1">
      <alignment/>
    </xf>
    <xf numFmtId="167" fontId="9" fillId="35" borderId="36" xfId="42" applyNumberFormat="1" applyFont="1" applyFill="1" applyBorder="1" applyAlignment="1">
      <alignment/>
    </xf>
    <xf numFmtId="167" fontId="0" fillId="35" borderId="36" xfId="42" applyNumberFormat="1" applyFill="1" applyBorder="1" applyAlignment="1">
      <alignment/>
    </xf>
    <xf numFmtId="167" fontId="0" fillId="33" borderId="39" xfId="42" applyNumberFormat="1" applyFill="1" applyBorder="1" applyAlignment="1">
      <alignment/>
    </xf>
    <xf numFmtId="167" fontId="0" fillId="37" borderId="15" xfId="42" applyNumberFormat="1" applyFill="1" applyBorder="1" applyAlignment="1">
      <alignment/>
    </xf>
    <xf numFmtId="167" fontId="0" fillId="33" borderId="40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67" fontId="0" fillId="33" borderId="41" xfId="42" applyNumberFormat="1" applyFont="1" applyFill="1" applyBorder="1" applyAlignment="1">
      <alignment/>
    </xf>
    <xf numFmtId="167" fontId="0" fillId="33" borderId="15" xfId="42" applyNumberFormat="1" applyFont="1" applyFill="1" applyBorder="1" applyAlignment="1">
      <alignment/>
    </xf>
    <xf numFmtId="167" fontId="0" fillId="33" borderId="42" xfId="42" applyNumberFormat="1" applyFont="1" applyFill="1" applyBorder="1" applyAlignment="1">
      <alignment/>
    </xf>
    <xf numFmtId="167" fontId="14" fillId="35" borderId="37" xfId="42" applyNumberFormat="1" applyFont="1" applyFill="1" applyBorder="1" applyAlignment="1">
      <alignment/>
    </xf>
    <xf numFmtId="167" fontId="16" fillId="33" borderId="42" xfId="42" applyNumberFormat="1" applyFont="1" applyFill="1" applyBorder="1" applyAlignment="1">
      <alignment/>
    </xf>
    <xf numFmtId="4" fontId="18" fillId="36" borderId="18" xfId="42" applyNumberFormat="1" applyFont="1" applyFill="1" applyBorder="1" applyAlignment="1">
      <alignment/>
    </xf>
    <xf numFmtId="167" fontId="16" fillId="33" borderId="15" xfId="42" applyNumberFormat="1" applyFont="1" applyFill="1" applyBorder="1" applyAlignment="1">
      <alignment/>
    </xf>
    <xf numFmtId="167" fontId="0" fillId="38" borderId="0" xfId="42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167" fontId="0" fillId="0" borderId="0" xfId="42" applyNumberFormat="1" applyFont="1" applyAlignment="1">
      <alignment/>
    </xf>
    <xf numFmtId="173" fontId="8" fillId="34" borderId="43" xfId="0" applyNumberFormat="1" applyFont="1" applyFill="1" applyBorder="1" applyAlignment="1">
      <alignment horizontal="right"/>
    </xf>
    <xf numFmtId="167" fontId="0" fillId="33" borderId="44" xfId="42" applyNumberFormat="1" applyFill="1" applyBorder="1" applyAlignment="1">
      <alignment/>
    </xf>
    <xf numFmtId="168" fontId="10" fillId="33" borderId="44" xfId="59" applyNumberFormat="1" applyFont="1" applyFill="1" applyBorder="1" applyAlignment="1">
      <alignment/>
    </xf>
    <xf numFmtId="167" fontId="9" fillId="35" borderId="44" xfId="42" applyNumberFormat="1" applyFont="1" applyFill="1" applyBorder="1" applyAlignment="1">
      <alignment/>
    </xf>
    <xf numFmtId="10" fontId="0" fillId="33" borderId="44" xfId="59" applyNumberFormat="1" applyFill="1" applyBorder="1" applyAlignment="1">
      <alignment/>
    </xf>
    <xf numFmtId="167" fontId="9" fillId="33" borderId="44" xfId="42" applyNumberFormat="1" applyFont="1" applyFill="1" applyBorder="1" applyAlignment="1">
      <alignment/>
    </xf>
    <xf numFmtId="169" fontId="3" fillId="0" borderId="0" xfId="44" applyNumberFormat="1" applyFont="1" applyAlignment="1">
      <alignment/>
    </xf>
    <xf numFmtId="169" fontId="3" fillId="0" borderId="10" xfId="44" applyNumberFormat="1" applyFont="1" applyBorder="1" applyAlignment="1">
      <alignment/>
    </xf>
    <xf numFmtId="169" fontId="2" fillId="0" borderId="0" xfId="44" applyNumberFormat="1" applyFont="1" applyAlignment="1">
      <alignment/>
    </xf>
    <xf numFmtId="169" fontId="23" fillId="0" borderId="0" xfId="44" applyNumberFormat="1" applyFont="1" applyAlignment="1">
      <alignment/>
    </xf>
    <xf numFmtId="168" fontId="0" fillId="33" borderId="0" xfId="59" applyNumberFormat="1" applyFill="1" applyBorder="1" applyAlignment="1">
      <alignment/>
    </xf>
    <xf numFmtId="168" fontId="0" fillId="33" borderId="15" xfId="59" applyNumberFormat="1" applyFill="1" applyBorder="1" applyAlignment="1">
      <alignment/>
    </xf>
    <xf numFmtId="0" fontId="7" fillId="34" borderId="20" xfId="0" applyFont="1" applyFill="1" applyBorder="1" applyAlignment="1">
      <alignment/>
    </xf>
    <xf numFmtId="173" fontId="8" fillId="34" borderId="45" xfId="0" applyNumberFormat="1" applyFont="1" applyFill="1" applyBorder="1" applyAlignment="1" quotePrefix="1">
      <alignment horizontal="right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/>
    </xf>
    <xf numFmtId="167" fontId="3" fillId="0" borderId="44" xfId="42" applyNumberFormat="1" applyFont="1" applyBorder="1" applyAlignment="1">
      <alignment/>
    </xf>
    <xf numFmtId="167" fontId="3" fillId="0" borderId="44" xfId="0" applyNumberFormat="1" applyFont="1" applyBorder="1" applyAlignment="1">
      <alignment/>
    </xf>
    <xf numFmtId="169" fontId="3" fillId="0" borderId="44" xfId="44" applyNumberFormat="1" applyFont="1" applyBorder="1" applyAlignment="1">
      <alignment/>
    </xf>
    <xf numFmtId="44" fontId="3" fillId="0" borderId="44" xfId="0" applyNumberFormat="1" applyFont="1" applyBorder="1" applyAlignment="1">
      <alignment/>
    </xf>
    <xf numFmtId="169" fontId="3" fillId="0" borderId="46" xfId="44" applyNumberFormat="1" applyFont="1" applyBorder="1" applyAlignment="1">
      <alignment/>
    </xf>
    <xf numFmtId="44" fontId="3" fillId="0" borderId="44" xfId="44" applyFont="1" applyBorder="1" applyAlignment="1">
      <alignment/>
    </xf>
    <xf numFmtId="0" fontId="23" fillId="0" borderId="44" xfId="0" applyFont="1" applyBorder="1" applyAlignment="1">
      <alignment/>
    </xf>
    <xf numFmtId="169" fontId="23" fillId="0" borderId="44" xfId="44" applyNumberFormat="1" applyFont="1" applyBorder="1" applyAlignment="1">
      <alignment/>
    </xf>
    <xf numFmtId="0" fontId="0" fillId="0" borderId="15" xfId="0" applyBorder="1" applyAlignment="1">
      <alignment/>
    </xf>
    <xf numFmtId="173" fontId="8" fillId="34" borderId="15" xfId="0" applyNumberFormat="1" applyFont="1" applyFill="1" applyBorder="1" applyAlignment="1" quotePrefix="1">
      <alignment horizontal="right"/>
    </xf>
    <xf numFmtId="167" fontId="0" fillId="0" borderId="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ranca\Theranos_Final%20Valuation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eneral info"/>
      <sheetName val="Revenue forecast"/>
      <sheetName val="Revenue driver"/>
      <sheetName val="Cost driver"/>
      <sheetName val="Other driver"/>
      <sheetName val="Inc Stmnt"/>
      <sheetName val="BS"/>
      <sheetName val="Cash flow"/>
      <sheetName val="DCF"/>
      <sheetName val="Valuation-Option pricing"/>
      <sheetName val="Volatility comparables"/>
    </sheetNames>
    <sheetDataSet>
      <sheetData sheetId="1">
        <row r="6">
          <cell r="C6" t="str">
            <v>Theranos,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75" zoomScaleSheetLayoutView="75" zoomScalePageLayoutView="0" workbookViewId="0" topLeftCell="A1">
      <selection activeCell="W13" sqref="W13"/>
    </sheetView>
  </sheetViews>
  <sheetFormatPr defaultColWidth="9.140625" defaultRowHeight="12.75"/>
  <cols>
    <col min="1" max="1" width="30.28125" style="2" customWidth="1"/>
    <col min="2" max="2" width="13.140625" style="2" customWidth="1"/>
    <col min="3" max="3" width="19.28125" style="2" customWidth="1"/>
    <col min="4" max="4" width="8.8515625" style="2" customWidth="1"/>
    <col min="5" max="5" width="0" style="2" hidden="1" customWidth="1"/>
    <col min="6" max="6" width="18.8515625" style="2" bestFit="1" customWidth="1"/>
    <col min="7" max="7" width="21.140625" style="2" bestFit="1" customWidth="1"/>
    <col min="8" max="8" width="18.8515625" style="2" bestFit="1" customWidth="1"/>
    <col min="9" max="14" width="21.140625" style="2" bestFit="1" customWidth="1"/>
    <col min="15" max="24" width="18.8515625" style="2" bestFit="1" customWidth="1"/>
    <col min="25" max="16384" width="9.140625" style="2" customWidth="1"/>
  </cols>
  <sheetData>
    <row r="1" ht="15">
      <c r="A1" s="1" t="s">
        <v>0</v>
      </c>
    </row>
    <row r="3" spans="1:5" ht="15">
      <c r="A3" s="1" t="s">
        <v>29</v>
      </c>
      <c r="B3" s="1"/>
      <c r="C3" s="1"/>
      <c r="D3" s="1"/>
      <c r="E3" s="1"/>
    </row>
    <row r="4" spans="1:5" ht="15">
      <c r="A4" s="1" t="s">
        <v>1</v>
      </c>
      <c r="B4" s="1"/>
      <c r="C4" s="1"/>
      <c r="D4" s="1"/>
      <c r="E4" s="1"/>
    </row>
    <row r="5" ht="15.75" thickBot="1"/>
    <row r="6" spans="5:24" ht="15">
      <c r="E6" s="113" t="s">
        <v>104</v>
      </c>
      <c r="F6" s="113" t="s">
        <v>95</v>
      </c>
      <c r="G6" s="113" t="s">
        <v>96</v>
      </c>
      <c r="H6" s="113" t="s">
        <v>97</v>
      </c>
      <c r="I6" s="113" t="s">
        <v>98</v>
      </c>
      <c r="J6" s="113" t="s">
        <v>99</v>
      </c>
      <c r="K6" s="114">
        <v>39478</v>
      </c>
      <c r="L6" s="114">
        <v>39506</v>
      </c>
      <c r="M6" s="114">
        <v>39538</v>
      </c>
      <c r="N6" s="114">
        <v>39568</v>
      </c>
      <c r="O6" s="114">
        <v>39599</v>
      </c>
      <c r="P6" s="114">
        <v>39629</v>
      </c>
      <c r="Q6" s="114">
        <v>39660</v>
      </c>
      <c r="R6" s="114">
        <v>39691</v>
      </c>
      <c r="S6" s="114">
        <v>39721</v>
      </c>
      <c r="T6" s="114">
        <v>39752</v>
      </c>
      <c r="U6" s="114">
        <v>39782</v>
      </c>
      <c r="V6" s="114">
        <v>39813</v>
      </c>
      <c r="W6" s="159" t="s">
        <v>120</v>
      </c>
      <c r="X6" s="116" t="s">
        <v>121</v>
      </c>
    </row>
    <row r="7" spans="6:24" ht="15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60"/>
      <c r="X7" s="3"/>
    </row>
    <row r="8" spans="1:23" ht="15">
      <c r="A8" s="4" t="s">
        <v>2</v>
      </c>
      <c r="W8" s="161"/>
    </row>
    <row r="9" ht="15">
      <c r="W9" s="161"/>
    </row>
    <row r="10" spans="1:23" ht="15">
      <c r="A10" s="2" t="s">
        <v>23</v>
      </c>
      <c r="B10" s="2" t="s">
        <v>5</v>
      </c>
      <c r="C10" s="2" t="s">
        <v>16</v>
      </c>
      <c r="W10" s="161"/>
    </row>
    <row r="11" spans="1:24" ht="15">
      <c r="A11" s="2" t="s">
        <v>21</v>
      </c>
      <c r="B11" s="2" t="s">
        <v>16</v>
      </c>
      <c r="F11" s="5">
        <v>5</v>
      </c>
      <c r="G11" s="5">
        <v>50</v>
      </c>
      <c r="H11" s="5">
        <v>100</v>
      </c>
      <c r="I11" s="5">
        <v>150</v>
      </c>
      <c r="J11" s="5">
        <v>200</v>
      </c>
      <c r="K11" s="5">
        <v>300</v>
      </c>
      <c r="L11" s="5">
        <v>300</v>
      </c>
      <c r="M11" s="5">
        <v>350</v>
      </c>
      <c r="N11" s="5">
        <v>400</v>
      </c>
      <c r="O11" s="5">
        <v>450</v>
      </c>
      <c r="P11" s="5">
        <v>500</v>
      </c>
      <c r="Q11" s="5">
        <v>500</v>
      </c>
      <c r="R11" s="5">
        <v>500</v>
      </c>
      <c r="S11" s="5">
        <v>600</v>
      </c>
      <c r="T11" s="5">
        <v>700</v>
      </c>
      <c r="U11" s="5">
        <v>800</v>
      </c>
      <c r="V11" s="5">
        <v>800</v>
      </c>
      <c r="W11" s="162">
        <f>SUM(E11:J11)</f>
        <v>505</v>
      </c>
      <c r="X11" s="5">
        <f>SUM(K11:V11)</f>
        <v>6200</v>
      </c>
    </row>
    <row r="12" spans="1:24" ht="15">
      <c r="A12" s="2" t="s">
        <v>22</v>
      </c>
      <c r="F12" s="5">
        <f>F11</f>
        <v>5</v>
      </c>
      <c r="G12" s="5">
        <f>F11+G11</f>
        <v>55</v>
      </c>
      <c r="H12" s="5">
        <f>G12+H11</f>
        <v>155</v>
      </c>
      <c r="I12" s="5">
        <f aca="true" t="shared" si="0" ref="I12:V12">H12+I11</f>
        <v>305</v>
      </c>
      <c r="J12" s="5">
        <f t="shared" si="0"/>
        <v>505</v>
      </c>
      <c r="K12" s="5">
        <f t="shared" si="0"/>
        <v>805</v>
      </c>
      <c r="L12" s="5">
        <f t="shared" si="0"/>
        <v>1105</v>
      </c>
      <c r="M12" s="5">
        <f t="shared" si="0"/>
        <v>1455</v>
      </c>
      <c r="N12" s="5">
        <f t="shared" si="0"/>
        <v>1855</v>
      </c>
      <c r="O12" s="5">
        <f t="shared" si="0"/>
        <v>2305</v>
      </c>
      <c r="P12" s="5">
        <f t="shared" si="0"/>
        <v>2805</v>
      </c>
      <c r="Q12" s="5">
        <f t="shared" si="0"/>
        <v>3305</v>
      </c>
      <c r="R12" s="5">
        <f t="shared" si="0"/>
        <v>3805</v>
      </c>
      <c r="S12" s="5">
        <f t="shared" si="0"/>
        <v>4405</v>
      </c>
      <c r="T12" s="5">
        <f t="shared" si="0"/>
        <v>5105</v>
      </c>
      <c r="U12" s="5">
        <f t="shared" si="0"/>
        <v>5905</v>
      </c>
      <c r="V12" s="5">
        <f t="shared" si="0"/>
        <v>6705</v>
      </c>
      <c r="W12" s="162"/>
      <c r="X12" s="5"/>
    </row>
    <row r="13" spans="1:24" ht="15">
      <c r="A13" s="2" t="s">
        <v>28</v>
      </c>
      <c r="C13" s="11">
        <v>90</v>
      </c>
      <c r="D13" s="115"/>
      <c r="E13" s="115"/>
      <c r="I13" s="6">
        <f>IF($C$13=90,F11,IF($C$13=60,F11,IF($C$13=30,F11)))</f>
        <v>5</v>
      </c>
      <c r="J13" s="6">
        <f>IF($C$13=90,F11+G11,IF($C$13=60,F11+G11,IF($C$13=30,G11)))</f>
        <v>55</v>
      </c>
      <c r="K13" s="6">
        <f>IF($C$13=90,F11+G11+H11,IF($C$13=60,G11+H11,IF($C$13=30,H11)))</f>
        <v>155</v>
      </c>
      <c r="L13" s="6">
        <f>IF($C$13=90,G11+H11+I11,IF($C$13=60,H11+I11,IF($C$13=30,I11)))</f>
        <v>300</v>
      </c>
      <c r="M13" s="6">
        <f>IF($C$13=90,H11+I11+J11,IF($C$13=60,I11+J11,IF($C$13=30,J11)))</f>
        <v>450</v>
      </c>
      <c r="N13" s="6">
        <f>IF($C$13=90,I11+J11+K11,IF($C$13=60,J11+K11,IF($C$13=30,K11)))</f>
        <v>650</v>
      </c>
      <c r="O13" s="6">
        <f>IF($C$13=90,J11+K11+L11+F11,IF($C$13=60,K11+L11,IF($C$13=30,L11)))</f>
        <v>805</v>
      </c>
      <c r="P13" s="6">
        <f>IF($C$13=90,K11+L11+M11+F11+G11,IF($C$13=60,L11+M11+G11,IF($C$13=30,M11)))</f>
        <v>1005</v>
      </c>
      <c r="Q13" s="6">
        <f>IF($C$13=90,L11+M11+N11+F11+G11+H11,IF($C$13=60,M11+N11+G11+H11,IF($C$13=30,N11)))</f>
        <v>1205</v>
      </c>
      <c r="R13" s="6">
        <f>IF($C$13=90,M11+N11+O11+G11+H11+I11,IF($C$13=60,N11+O11+H11+I11,IF($C$13=30,O11)))</f>
        <v>1500</v>
      </c>
      <c r="S13" s="6">
        <f>IF($C$13=90,N11+O11+P11+H11+I11+J11,IF($C$13=60,O11+P11+I11+J11,IF($C$13=30,P11)))</f>
        <v>1800</v>
      </c>
      <c r="T13" s="6">
        <f>IF($C$13=90,O11+P11+Q11+I11+J11+K11,IF($C$13=60,P11+Q11+J11+K11,IF($C$13=30,Q11)))</f>
        <v>2100</v>
      </c>
      <c r="U13" s="6">
        <f>IF($C$13=90,P11+Q11+R11+J11+K11+L11+F11,IF($C$13=60,Q11+R11+K11+L11,IF($C$13=30,R11)))</f>
        <v>2305</v>
      </c>
      <c r="V13" s="6">
        <f>IF($C$13=90,Q11+R11+S11+K11+L11+M11+F11+G11,IF($C$13=60,R11+S11+L11+M11,IF($C$13=30,S11)))</f>
        <v>2605</v>
      </c>
      <c r="W13" s="163"/>
      <c r="X13" s="6"/>
    </row>
    <row r="14" spans="1:24" ht="15">
      <c r="A14" s="2" t="s">
        <v>27</v>
      </c>
      <c r="C14" s="5">
        <v>3333.3333333333335</v>
      </c>
      <c r="D14" s="7"/>
      <c r="E14" s="7"/>
      <c r="F14" s="5">
        <f>F12-F13</f>
        <v>5</v>
      </c>
      <c r="G14" s="5">
        <f>G12-G13</f>
        <v>55</v>
      </c>
      <c r="H14" s="5">
        <f>H12-H13</f>
        <v>155</v>
      </c>
      <c r="I14" s="5">
        <f>I12-I13</f>
        <v>300</v>
      </c>
      <c r="J14" s="5">
        <f>J12-J13</f>
        <v>450</v>
      </c>
      <c r="K14" s="5">
        <f aca="true" t="shared" si="1" ref="K14:V14">K12-K13</f>
        <v>650</v>
      </c>
      <c r="L14" s="5">
        <f t="shared" si="1"/>
        <v>805</v>
      </c>
      <c r="M14" s="5">
        <f t="shared" si="1"/>
        <v>1005</v>
      </c>
      <c r="N14" s="5">
        <f t="shared" si="1"/>
        <v>1205</v>
      </c>
      <c r="O14" s="5">
        <f t="shared" si="1"/>
        <v>1500</v>
      </c>
      <c r="P14" s="5">
        <f t="shared" si="1"/>
        <v>1800</v>
      </c>
      <c r="Q14" s="5">
        <f t="shared" si="1"/>
        <v>2100</v>
      </c>
      <c r="R14" s="5">
        <f t="shared" si="1"/>
        <v>2305</v>
      </c>
      <c r="S14" s="5">
        <f t="shared" si="1"/>
        <v>2605</v>
      </c>
      <c r="T14" s="5">
        <f t="shared" si="1"/>
        <v>3005</v>
      </c>
      <c r="U14" s="5">
        <f t="shared" si="1"/>
        <v>3600</v>
      </c>
      <c r="V14" s="5">
        <f t="shared" si="1"/>
        <v>4100</v>
      </c>
      <c r="W14" s="162"/>
      <c r="X14" s="5"/>
    </row>
    <row r="15" spans="3:24" ht="15">
      <c r="C15" s="5">
        <f>+C14</f>
        <v>3333.3333333333335</v>
      </c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62"/>
      <c r="X15" s="5"/>
    </row>
    <row r="16" spans="1:24" s="152" customFormat="1" ht="15">
      <c r="A16" s="152" t="s">
        <v>9</v>
      </c>
      <c r="C16" s="152" t="s">
        <v>16</v>
      </c>
      <c r="F16" s="152">
        <f>$C$14*F14</f>
        <v>16666.666666666668</v>
      </c>
      <c r="G16" s="152">
        <f>$C$14*G14</f>
        <v>183333.33333333334</v>
      </c>
      <c r="H16" s="152">
        <f aca="true" t="shared" si="2" ref="H16:M16">$C$14*H14</f>
        <v>516666.6666666667</v>
      </c>
      <c r="I16" s="152">
        <f t="shared" si="2"/>
        <v>1000000</v>
      </c>
      <c r="J16" s="152">
        <f t="shared" si="2"/>
        <v>1500000</v>
      </c>
      <c r="K16" s="152">
        <f t="shared" si="2"/>
        <v>2166666.666666667</v>
      </c>
      <c r="L16" s="152">
        <f t="shared" si="2"/>
        <v>2683333.3333333335</v>
      </c>
      <c r="M16" s="152">
        <f t="shared" si="2"/>
        <v>3350000</v>
      </c>
      <c r="N16" s="152">
        <f>$C$15*N14</f>
        <v>4016666.666666667</v>
      </c>
      <c r="O16" s="152">
        <f aca="true" t="shared" si="3" ref="O16:V16">$C$15*O14</f>
        <v>5000000</v>
      </c>
      <c r="P16" s="152">
        <f t="shared" si="3"/>
        <v>6000000</v>
      </c>
      <c r="Q16" s="152">
        <f t="shared" si="3"/>
        <v>7000000</v>
      </c>
      <c r="R16" s="152">
        <f t="shared" si="3"/>
        <v>7683333.333333334</v>
      </c>
      <c r="S16" s="152">
        <f t="shared" si="3"/>
        <v>8683333.333333334</v>
      </c>
      <c r="T16" s="152">
        <f t="shared" si="3"/>
        <v>10016666.666666668</v>
      </c>
      <c r="U16" s="152">
        <f t="shared" si="3"/>
        <v>12000000</v>
      </c>
      <c r="V16" s="152">
        <f t="shared" si="3"/>
        <v>13666666.666666668</v>
      </c>
      <c r="W16" s="164">
        <f>SUM(E16:J16)</f>
        <v>3216666.666666667</v>
      </c>
      <c r="X16" s="152">
        <f>SUM(K16:V16)</f>
        <v>82266666.66666667</v>
      </c>
    </row>
    <row r="17" ht="15">
      <c r="W17" s="161"/>
    </row>
    <row r="18" ht="15">
      <c r="W18" s="161"/>
    </row>
    <row r="19" spans="1:23" ht="15">
      <c r="A19" s="2" t="s">
        <v>4</v>
      </c>
      <c r="C19" s="11" t="s">
        <v>7</v>
      </c>
      <c r="D19" s="115"/>
      <c r="E19" s="115"/>
      <c r="W19" s="161"/>
    </row>
    <row r="20" spans="1:24" ht="15">
      <c r="A20" s="2" t="s">
        <v>8</v>
      </c>
      <c r="B20" s="2">
        <v>12</v>
      </c>
      <c r="C20" s="7">
        <v>0</v>
      </c>
      <c r="D20" s="7"/>
      <c r="E20" s="7"/>
      <c r="F20" s="5">
        <f>$B$20*F14</f>
        <v>60</v>
      </c>
      <c r="G20" s="5">
        <f>$B$20*G14</f>
        <v>660</v>
      </c>
      <c r="H20" s="5">
        <f aca="true" t="shared" si="4" ref="H20:V20">$B$20*H14</f>
        <v>1860</v>
      </c>
      <c r="I20" s="5">
        <f t="shared" si="4"/>
        <v>3600</v>
      </c>
      <c r="J20" s="5">
        <f t="shared" si="4"/>
        <v>5400</v>
      </c>
      <c r="K20" s="5">
        <f t="shared" si="4"/>
        <v>7800</v>
      </c>
      <c r="L20" s="5">
        <f t="shared" si="4"/>
        <v>9660</v>
      </c>
      <c r="M20" s="5">
        <f t="shared" si="4"/>
        <v>12060</v>
      </c>
      <c r="N20" s="5">
        <f t="shared" si="4"/>
        <v>14460</v>
      </c>
      <c r="O20" s="5">
        <f t="shared" si="4"/>
        <v>18000</v>
      </c>
      <c r="P20" s="5">
        <f t="shared" si="4"/>
        <v>21600</v>
      </c>
      <c r="Q20" s="5">
        <f t="shared" si="4"/>
        <v>25200</v>
      </c>
      <c r="R20" s="5">
        <f t="shared" si="4"/>
        <v>27660</v>
      </c>
      <c r="S20" s="5">
        <f t="shared" si="4"/>
        <v>31260</v>
      </c>
      <c r="T20" s="5">
        <f t="shared" si="4"/>
        <v>36060</v>
      </c>
      <c r="U20" s="5">
        <f t="shared" si="4"/>
        <v>43200</v>
      </c>
      <c r="V20" s="5">
        <f t="shared" si="4"/>
        <v>49200</v>
      </c>
      <c r="W20" s="162">
        <f>SUM(E20:J20)</f>
        <v>11580</v>
      </c>
      <c r="X20" s="5">
        <f>SUM(K20:V20)</f>
        <v>296160</v>
      </c>
    </row>
    <row r="21" spans="3:24" ht="15"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62"/>
      <c r="X21" s="5"/>
    </row>
    <row r="22" spans="1:24" ht="15">
      <c r="A22" s="2" t="s">
        <v>9</v>
      </c>
      <c r="F22" s="8">
        <f aca="true" t="shared" si="5" ref="F22:V22">$C$20*F20</f>
        <v>0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8">
        <f t="shared" si="5"/>
        <v>0</v>
      </c>
      <c r="N22" s="8">
        <f t="shared" si="5"/>
        <v>0</v>
      </c>
      <c r="O22" s="8">
        <f t="shared" si="5"/>
        <v>0</v>
      </c>
      <c r="P22" s="8">
        <f t="shared" si="5"/>
        <v>0</v>
      </c>
      <c r="Q22" s="8">
        <f t="shared" si="5"/>
        <v>0</v>
      </c>
      <c r="R22" s="8">
        <f t="shared" si="5"/>
        <v>0</v>
      </c>
      <c r="S22" s="8">
        <f t="shared" si="5"/>
        <v>0</v>
      </c>
      <c r="T22" s="8">
        <f t="shared" si="5"/>
        <v>0</v>
      </c>
      <c r="U22" s="8">
        <f t="shared" si="5"/>
        <v>0</v>
      </c>
      <c r="V22" s="8">
        <f t="shared" si="5"/>
        <v>0</v>
      </c>
      <c r="W22" s="165">
        <f>SUM(E22:J22)</f>
        <v>0</v>
      </c>
      <c r="X22" s="8">
        <f>SUM(K22:V22)</f>
        <v>0</v>
      </c>
    </row>
    <row r="23" ht="15">
      <c r="W23" s="161"/>
    </row>
    <row r="24" ht="15">
      <c r="W24" s="161"/>
    </row>
    <row r="25" spans="1:23" ht="15">
      <c r="A25" s="2" t="s">
        <v>6</v>
      </c>
      <c r="C25" s="11" t="s">
        <v>7</v>
      </c>
      <c r="D25" s="115"/>
      <c r="E25" s="115"/>
      <c r="W25" s="161"/>
    </row>
    <row r="26" spans="1:24" ht="15">
      <c r="A26" s="2" t="s">
        <v>8</v>
      </c>
      <c r="C26" s="152">
        <v>1500000</v>
      </c>
      <c r="D26" s="7"/>
      <c r="E26" s="7"/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1</v>
      </c>
      <c r="W26" s="162">
        <f>SUM(E26:J26)</f>
        <v>2</v>
      </c>
      <c r="X26" s="5">
        <f>SUM(K26:V26)</f>
        <v>4</v>
      </c>
    </row>
    <row r="27" spans="1:24" s="152" customFormat="1" ht="15">
      <c r="A27" s="152" t="s">
        <v>9</v>
      </c>
      <c r="F27" s="153">
        <f aca="true" t="shared" si="6" ref="F27:V27">$C$26*F26</f>
        <v>0</v>
      </c>
      <c r="G27" s="153">
        <f t="shared" si="6"/>
        <v>1500000</v>
      </c>
      <c r="H27" s="153">
        <f t="shared" si="6"/>
        <v>0</v>
      </c>
      <c r="I27" s="153">
        <f t="shared" si="6"/>
        <v>0</v>
      </c>
      <c r="J27" s="153">
        <f t="shared" si="6"/>
        <v>1500000</v>
      </c>
      <c r="K27" s="153">
        <f t="shared" si="6"/>
        <v>0</v>
      </c>
      <c r="L27" s="153">
        <f t="shared" si="6"/>
        <v>0</v>
      </c>
      <c r="M27" s="153">
        <f t="shared" si="6"/>
        <v>1500000</v>
      </c>
      <c r="N27" s="153">
        <f t="shared" si="6"/>
        <v>0</v>
      </c>
      <c r="O27" s="153">
        <f t="shared" si="6"/>
        <v>0</v>
      </c>
      <c r="P27" s="153">
        <f t="shared" si="6"/>
        <v>1500000</v>
      </c>
      <c r="Q27" s="153">
        <f t="shared" si="6"/>
        <v>0</v>
      </c>
      <c r="R27" s="153">
        <f t="shared" si="6"/>
        <v>0</v>
      </c>
      <c r="S27" s="153">
        <f t="shared" si="6"/>
        <v>1500000</v>
      </c>
      <c r="T27" s="153">
        <f t="shared" si="6"/>
        <v>0</v>
      </c>
      <c r="U27" s="153">
        <f t="shared" si="6"/>
        <v>0</v>
      </c>
      <c r="V27" s="153">
        <f t="shared" si="6"/>
        <v>1500000</v>
      </c>
      <c r="W27" s="166">
        <f>SUM(E27:J27)</f>
        <v>3000000</v>
      </c>
      <c r="X27" s="153">
        <f>SUM(K27:V27)</f>
        <v>6000000</v>
      </c>
    </row>
    <row r="28" ht="15">
      <c r="W28" s="161"/>
    </row>
    <row r="29" ht="15">
      <c r="W29" s="161"/>
    </row>
    <row r="30" spans="1:24" s="152" customFormat="1" ht="15">
      <c r="A30" s="154" t="s">
        <v>10</v>
      </c>
      <c r="F30" s="152">
        <f>F16+F22+F27</f>
        <v>16666.666666666668</v>
      </c>
      <c r="G30" s="152">
        <f aca="true" t="shared" si="7" ref="G30:V30">G16+G22+G27</f>
        <v>1683333.3333333333</v>
      </c>
      <c r="H30" s="152">
        <f t="shared" si="7"/>
        <v>516666.6666666667</v>
      </c>
      <c r="I30" s="152">
        <f t="shared" si="7"/>
        <v>1000000</v>
      </c>
      <c r="J30" s="152">
        <f t="shared" si="7"/>
        <v>3000000</v>
      </c>
      <c r="K30" s="152">
        <f t="shared" si="7"/>
        <v>2166666.666666667</v>
      </c>
      <c r="L30" s="152">
        <f t="shared" si="7"/>
        <v>2683333.3333333335</v>
      </c>
      <c r="M30" s="152">
        <f t="shared" si="7"/>
        <v>4850000</v>
      </c>
      <c r="N30" s="152">
        <f t="shared" si="7"/>
        <v>4016666.666666667</v>
      </c>
      <c r="O30" s="152">
        <f t="shared" si="7"/>
        <v>5000000</v>
      </c>
      <c r="P30" s="152">
        <f t="shared" si="7"/>
        <v>7500000</v>
      </c>
      <c r="Q30" s="152">
        <f t="shared" si="7"/>
        <v>7000000</v>
      </c>
      <c r="R30" s="152">
        <f t="shared" si="7"/>
        <v>7683333.333333334</v>
      </c>
      <c r="S30" s="152">
        <f t="shared" si="7"/>
        <v>10183333.333333334</v>
      </c>
      <c r="T30" s="152">
        <f t="shared" si="7"/>
        <v>10016666.666666668</v>
      </c>
      <c r="U30" s="152">
        <f t="shared" si="7"/>
        <v>12000000</v>
      </c>
      <c r="V30" s="152">
        <f t="shared" si="7"/>
        <v>15166666.666666668</v>
      </c>
      <c r="W30" s="164">
        <f>SUM(E30:J30)</f>
        <v>6216666.666666666</v>
      </c>
      <c r="X30" s="152">
        <f>SUM(K30:V30)</f>
        <v>88266666.66666667</v>
      </c>
    </row>
    <row r="31" ht="15">
      <c r="W31" s="161"/>
    </row>
    <row r="32" ht="15">
      <c r="W32" s="161"/>
    </row>
    <row r="33" spans="1:23" ht="15">
      <c r="A33" s="4" t="s">
        <v>12</v>
      </c>
      <c r="W33" s="161"/>
    </row>
    <row r="34" ht="15">
      <c r="W34" s="161"/>
    </row>
    <row r="35" spans="1:23" ht="15">
      <c r="A35" s="2" t="s">
        <v>3</v>
      </c>
      <c r="C35" s="11" t="s">
        <v>11</v>
      </c>
      <c r="D35" s="115"/>
      <c r="E35" s="115"/>
      <c r="W35" s="161"/>
    </row>
    <row r="36" spans="1:24" s="152" customFormat="1" ht="15">
      <c r="A36" s="152" t="s">
        <v>100</v>
      </c>
      <c r="C36" s="152">
        <v>5000</v>
      </c>
      <c r="D36" s="152">
        <v>0.0417</v>
      </c>
      <c r="F36" s="152">
        <f>$C$36*$D$36*F11</f>
        <v>1042.5</v>
      </c>
      <c r="G36" s="152">
        <f>$C$36*$D$36*G11+F36</f>
        <v>11467.5</v>
      </c>
      <c r="H36" s="152">
        <f aca="true" t="shared" si="8" ref="H36:V36">$C$36*$D$36*H11+G36</f>
        <v>32317.5</v>
      </c>
      <c r="I36" s="152">
        <f t="shared" si="8"/>
        <v>63592.5</v>
      </c>
      <c r="J36" s="152">
        <f t="shared" si="8"/>
        <v>105292.5</v>
      </c>
      <c r="K36" s="152">
        <f t="shared" si="8"/>
        <v>167842.5</v>
      </c>
      <c r="L36" s="152">
        <f t="shared" si="8"/>
        <v>230392.5</v>
      </c>
      <c r="M36" s="152">
        <f t="shared" si="8"/>
        <v>303367.5</v>
      </c>
      <c r="N36" s="152">
        <f t="shared" si="8"/>
        <v>386767.5</v>
      </c>
      <c r="O36" s="152">
        <f t="shared" si="8"/>
        <v>480592.5</v>
      </c>
      <c r="P36" s="152">
        <f t="shared" si="8"/>
        <v>584842.5</v>
      </c>
      <c r="Q36" s="152">
        <f t="shared" si="8"/>
        <v>689092.5</v>
      </c>
      <c r="R36" s="152">
        <f t="shared" si="8"/>
        <v>793342.5</v>
      </c>
      <c r="S36" s="152">
        <f t="shared" si="8"/>
        <v>918442.5</v>
      </c>
      <c r="T36" s="152">
        <f t="shared" si="8"/>
        <v>1064392.5</v>
      </c>
      <c r="U36" s="152">
        <f t="shared" si="8"/>
        <v>1231192.5</v>
      </c>
      <c r="V36" s="152">
        <f t="shared" si="8"/>
        <v>1397992.5</v>
      </c>
      <c r="W36" s="164">
        <f>SUM(E36:J36)</f>
        <v>213712.5</v>
      </c>
      <c r="X36" s="152">
        <f>SUM(K36:V36)</f>
        <v>8248260</v>
      </c>
    </row>
    <row r="37" spans="1:24" s="152" customFormat="1" ht="15">
      <c r="A37" s="152" t="s">
        <v>26</v>
      </c>
      <c r="C37" s="152">
        <v>333.33</v>
      </c>
      <c r="F37" s="153">
        <f>$C$37*F13</f>
        <v>0</v>
      </c>
      <c r="G37" s="153">
        <f aca="true" t="shared" si="9" ref="G37:V37">$C$37*G13</f>
        <v>0</v>
      </c>
      <c r="H37" s="153">
        <f t="shared" si="9"/>
        <v>0</v>
      </c>
      <c r="I37" s="153">
        <f t="shared" si="9"/>
        <v>1666.6499999999999</v>
      </c>
      <c r="J37" s="153">
        <f t="shared" si="9"/>
        <v>18333.149999999998</v>
      </c>
      <c r="K37" s="153">
        <f t="shared" si="9"/>
        <v>51666.149999999994</v>
      </c>
      <c r="L37" s="153">
        <f t="shared" si="9"/>
        <v>99999</v>
      </c>
      <c r="M37" s="153">
        <f t="shared" si="9"/>
        <v>149998.5</v>
      </c>
      <c r="N37" s="153">
        <f t="shared" si="9"/>
        <v>216664.5</v>
      </c>
      <c r="O37" s="153">
        <f t="shared" si="9"/>
        <v>268330.64999999997</v>
      </c>
      <c r="P37" s="153">
        <f t="shared" si="9"/>
        <v>334996.64999999997</v>
      </c>
      <c r="Q37" s="153">
        <f t="shared" si="9"/>
        <v>401662.64999999997</v>
      </c>
      <c r="R37" s="153">
        <f t="shared" si="9"/>
        <v>499995</v>
      </c>
      <c r="S37" s="153">
        <f t="shared" si="9"/>
        <v>599994</v>
      </c>
      <c r="T37" s="153">
        <f t="shared" si="9"/>
        <v>699993</v>
      </c>
      <c r="U37" s="153">
        <f t="shared" si="9"/>
        <v>768325.6499999999</v>
      </c>
      <c r="V37" s="153">
        <f t="shared" si="9"/>
        <v>868324.6499999999</v>
      </c>
      <c r="W37" s="166">
        <f>SUM(E37:J37)</f>
        <v>19999.8</v>
      </c>
      <c r="X37" s="153">
        <f>SUM(K37:V37)</f>
        <v>4959950.399999999</v>
      </c>
    </row>
    <row r="38" spans="3:24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67"/>
      <c r="X38" s="7"/>
    </row>
    <row r="39" spans="1:24" s="152" customFormat="1" ht="15">
      <c r="A39" s="152" t="s">
        <v>17</v>
      </c>
      <c r="F39" s="152">
        <f>SUM(F36:F37)</f>
        <v>1042.5</v>
      </c>
      <c r="G39" s="152">
        <f aca="true" t="shared" si="10" ref="G39:V39">SUM(G36:G37)</f>
        <v>11467.5</v>
      </c>
      <c r="H39" s="152">
        <f t="shared" si="10"/>
        <v>32317.5</v>
      </c>
      <c r="I39" s="152">
        <f t="shared" si="10"/>
        <v>65259.15</v>
      </c>
      <c r="J39" s="152">
        <f t="shared" si="10"/>
        <v>123625.65</v>
      </c>
      <c r="K39" s="152">
        <f t="shared" si="10"/>
        <v>219508.65</v>
      </c>
      <c r="L39" s="152">
        <f t="shared" si="10"/>
        <v>330391.5</v>
      </c>
      <c r="M39" s="152">
        <f t="shared" si="10"/>
        <v>453366</v>
      </c>
      <c r="N39" s="152">
        <f t="shared" si="10"/>
        <v>603432</v>
      </c>
      <c r="O39" s="152">
        <f t="shared" si="10"/>
        <v>748923.1499999999</v>
      </c>
      <c r="P39" s="152">
        <f t="shared" si="10"/>
        <v>919839.1499999999</v>
      </c>
      <c r="Q39" s="152">
        <f t="shared" si="10"/>
        <v>1090755.15</v>
      </c>
      <c r="R39" s="152">
        <f t="shared" si="10"/>
        <v>1293337.5</v>
      </c>
      <c r="S39" s="152">
        <f t="shared" si="10"/>
        <v>1518436.5</v>
      </c>
      <c r="T39" s="152">
        <f t="shared" si="10"/>
        <v>1764385.5</v>
      </c>
      <c r="U39" s="152">
        <f t="shared" si="10"/>
        <v>1999518.15</v>
      </c>
      <c r="V39" s="152">
        <f t="shared" si="10"/>
        <v>2266317.15</v>
      </c>
      <c r="W39" s="164">
        <f>SUM(E39:J39)</f>
        <v>233712.3</v>
      </c>
      <c r="X39" s="152">
        <f>SUM(K39:V39)</f>
        <v>13208210.4</v>
      </c>
    </row>
    <row r="40" ht="15">
      <c r="W40" s="161"/>
    </row>
    <row r="41" spans="1:23" ht="15">
      <c r="A41" s="2" t="s">
        <v>4</v>
      </c>
      <c r="C41" s="11" t="s">
        <v>11</v>
      </c>
      <c r="D41" s="115"/>
      <c r="E41" s="115"/>
      <c r="W41" s="161"/>
    </row>
    <row r="42" spans="1:24" s="152" customFormat="1" ht="15">
      <c r="A42" s="152" t="s">
        <v>24</v>
      </c>
      <c r="C42" s="152">
        <v>50</v>
      </c>
      <c r="F42" s="152">
        <f aca="true" t="shared" si="11" ref="F42:V42">$C$42*F20</f>
        <v>3000</v>
      </c>
      <c r="G42" s="152">
        <f t="shared" si="11"/>
        <v>33000</v>
      </c>
      <c r="H42" s="152">
        <f t="shared" si="11"/>
        <v>93000</v>
      </c>
      <c r="I42" s="152">
        <f t="shared" si="11"/>
        <v>180000</v>
      </c>
      <c r="J42" s="152">
        <f t="shared" si="11"/>
        <v>270000</v>
      </c>
      <c r="K42" s="152">
        <f t="shared" si="11"/>
        <v>390000</v>
      </c>
      <c r="L42" s="152">
        <f t="shared" si="11"/>
        <v>483000</v>
      </c>
      <c r="M42" s="152">
        <f t="shared" si="11"/>
        <v>603000</v>
      </c>
      <c r="N42" s="152">
        <f t="shared" si="11"/>
        <v>723000</v>
      </c>
      <c r="O42" s="152">
        <f t="shared" si="11"/>
        <v>900000</v>
      </c>
      <c r="P42" s="152">
        <f t="shared" si="11"/>
        <v>1080000</v>
      </c>
      <c r="Q42" s="152">
        <f t="shared" si="11"/>
        <v>1260000</v>
      </c>
      <c r="R42" s="152">
        <f t="shared" si="11"/>
        <v>1383000</v>
      </c>
      <c r="S42" s="152">
        <f t="shared" si="11"/>
        <v>1563000</v>
      </c>
      <c r="T42" s="152">
        <f>$C$42*T20</f>
        <v>1803000</v>
      </c>
      <c r="U42" s="152">
        <f t="shared" si="11"/>
        <v>2160000</v>
      </c>
      <c r="V42" s="152">
        <f t="shared" si="11"/>
        <v>2460000</v>
      </c>
      <c r="W42" s="164">
        <f>SUM(E42:J42)</f>
        <v>579000</v>
      </c>
      <c r="X42" s="152">
        <f>SUM(K42:V42)</f>
        <v>14808000</v>
      </c>
    </row>
    <row r="43" ht="15">
      <c r="W43" s="161"/>
    </row>
    <row r="44" ht="15">
      <c r="W44" s="161"/>
    </row>
    <row r="45" spans="1:24" s="152" customFormat="1" ht="15">
      <c r="A45" s="154" t="s">
        <v>13</v>
      </c>
      <c r="F45" s="153">
        <f>F39+F42</f>
        <v>4042.5</v>
      </c>
      <c r="G45" s="153">
        <f aca="true" t="shared" si="12" ref="G45:V45">G39+G42</f>
        <v>44467.5</v>
      </c>
      <c r="H45" s="153">
        <f t="shared" si="12"/>
        <v>125317.5</v>
      </c>
      <c r="I45" s="153">
        <f t="shared" si="12"/>
        <v>245259.15</v>
      </c>
      <c r="J45" s="153">
        <f t="shared" si="12"/>
        <v>393625.65</v>
      </c>
      <c r="K45" s="153">
        <f t="shared" si="12"/>
        <v>609508.65</v>
      </c>
      <c r="L45" s="153">
        <f t="shared" si="12"/>
        <v>813391.5</v>
      </c>
      <c r="M45" s="153">
        <f t="shared" si="12"/>
        <v>1056366</v>
      </c>
      <c r="N45" s="153">
        <f t="shared" si="12"/>
        <v>1326432</v>
      </c>
      <c r="O45" s="153">
        <f t="shared" si="12"/>
        <v>1648923.15</v>
      </c>
      <c r="P45" s="153">
        <f t="shared" si="12"/>
        <v>1999839.15</v>
      </c>
      <c r="Q45" s="153">
        <f t="shared" si="12"/>
        <v>2350755.15</v>
      </c>
      <c r="R45" s="153">
        <f t="shared" si="12"/>
        <v>2676337.5</v>
      </c>
      <c r="S45" s="153">
        <f t="shared" si="12"/>
        <v>3081436.5</v>
      </c>
      <c r="T45" s="153">
        <f t="shared" si="12"/>
        <v>3567385.5</v>
      </c>
      <c r="U45" s="153">
        <f t="shared" si="12"/>
        <v>4159518.15</v>
      </c>
      <c r="V45" s="153">
        <f t="shared" si="12"/>
        <v>4726317.15</v>
      </c>
      <c r="W45" s="166">
        <f>SUM(E45:J45)</f>
        <v>812712.3</v>
      </c>
      <c r="X45" s="153">
        <f>SUM(K45:V45)</f>
        <v>28016210.4</v>
      </c>
    </row>
    <row r="46" spans="1:24" ht="15">
      <c r="A46" s="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65"/>
      <c r="X46" s="8"/>
    </row>
    <row r="47" ht="15">
      <c r="W47" s="161"/>
    </row>
    <row r="48" spans="1:24" s="152" customFormat="1" ht="15">
      <c r="A48" s="154" t="s">
        <v>20</v>
      </c>
      <c r="F48" s="152">
        <f aca="true" t="shared" si="13" ref="F48:V48">F30-F45</f>
        <v>12624.166666666668</v>
      </c>
      <c r="G48" s="152">
        <f t="shared" si="13"/>
        <v>1638865.8333333333</v>
      </c>
      <c r="H48" s="152">
        <f t="shared" si="13"/>
        <v>391349.1666666667</v>
      </c>
      <c r="I48" s="152">
        <f t="shared" si="13"/>
        <v>754740.85</v>
      </c>
      <c r="J48" s="152">
        <f t="shared" si="13"/>
        <v>2606374.35</v>
      </c>
      <c r="K48" s="152">
        <f t="shared" si="13"/>
        <v>1557158.016666667</v>
      </c>
      <c r="L48" s="152">
        <f t="shared" si="13"/>
        <v>1869941.8333333335</v>
      </c>
      <c r="M48" s="152">
        <f t="shared" si="13"/>
        <v>3793634</v>
      </c>
      <c r="N48" s="152">
        <f t="shared" si="13"/>
        <v>2690234.666666667</v>
      </c>
      <c r="O48" s="152">
        <f t="shared" si="13"/>
        <v>3351076.85</v>
      </c>
      <c r="P48" s="152">
        <f t="shared" si="13"/>
        <v>5500160.85</v>
      </c>
      <c r="Q48" s="152">
        <f t="shared" si="13"/>
        <v>4649244.85</v>
      </c>
      <c r="R48" s="152">
        <f t="shared" si="13"/>
        <v>5006995.833333334</v>
      </c>
      <c r="S48" s="152">
        <f t="shared" si="13"/>
        <v>7101896.833333334</v>
      </c>
      <c r="T48" s="152">
        <f t="shared" si="13"/>
        <v>6449281.166666668</v>
      </c>
      <c r="U48" s="152">
        <f t="shared" si="13"/>
        <v>7840481.85</v>
      </c>
      <c r="V48" s="152">
        <f t="shared" si="13"/>
        <v>10440349.516666668</v>
      </c>
      <c r="W48" s="164">
        <f>SUM(E48:J48)</f>
        <v>5403954.366666667</v>
      </c>
      <c r="X48" s="152">
        <f>SUM(K48:V48)</f>
        <v>60250456.26666667</v>
      </c>
    </row>
    <row r="49" ht="15">
      <c r="W49" s="161"/>
    </row>
    <row r="50" ht="15">
      <c r="W50" s="161"/>
    </row>
    <row r="51" spans="1:23" ht="15">
      <c r="A51" s="9" t="s">
        <v>18</v>
      </c>
      <c r="W51" s="161"/>
    </row>
    <row r="52" ht="15">
      <c r="W52" s="161"/>
    </row>
    <row r="53" spans="1:24" s="152" customFormat="1" ht="15">
      <c r="A53" s="152" t="s">
        <v>15</v>
      </c>
      <c r="D53" s="152" t="s">
        <v>16</v>
      </c>
      <c r="F53" s="152">
        <v>666666</v>
      </c>
      <c r="G53" s="152">
        <v>666666</v>
      </c>
      <c r="H53" s="152">
        <v>666666</v>
      </c>
      <c r="I53" s="152">
        <v>800000</v>
      </c>
      <c r="J53" s="152">
        <v>800000</v>
      </c>
      <c r="K53" s="152">
        <v>800000</v>
      </c>
      <c r="L53" s="152">
        <v>1000000</v>
      </c>
      <c r="M53" s="152">
        <v>1000000</v>
      </c>
      <c r="N53" s="152">
        <v>1000000</v>
      </c>
      <c r="O53" s="152">
        <v>1200000</v>
      </c>
      <c r="P53" s="152">
        <v>1200000</v>
      </c>
      <c r="Q53" s="152">
        <v>1200000</v>
      </c>
      <c r="R53" s="152">
        <v>1400000</v>
      </c>
      <c r="S53" s="152">
        <v>1400000</v>
      </c>
      <c r="T53" s="152">
        <v>1400000</v>
      </c>
      <c r="U53" s="152">
        <v>1600000</v>
      </c>
      <c r="V53" s="152">
        <v>1600000</v>
      </c>
      <c r="W53" s="164">
        <f>SUM(E53:J53)</f>
        <v>3599998</v>
      </c>
      <c r="X53" s="152">
        <f>SUM(K53:V53)</f>
        <v>14800000</v>
      </c>
    </row>
    <row r="54" spans="1:24" s="152" customFormat="1" ht="15">
      <c r="A54" s="152" t="s">
        <v>14</v>
      </c>
      <c r="D54" s="152" t="s">
        <v>16</v>
      </c>
      <c r="F54" s="152">
        <f>667000*2</f>
        <v>1334000</v>
      </c>
      <c r="G54" s="152">
        <f>667000*2</f>
        <v>1334000</v>
      </c>
      <c r="H54" s="152">
        <f>667000*2</f>
        <v>1334000</v>
      </c>
      <c r="I54" s="152">
        <v>1600000</v>
      </c>
      <c r="J54" s="152">
        <v>1600000</v>
      </c>
      <c r="K54" s="152">
        <v>1600000</v>
      </c>
      <c r="L54" s="152">
        <v>1800000</v>
      </c>
      <c r="M54" s="152">
        <v>1800000</v>
      </c>
      <c r="N54" s="152">
        <v>1800000</v>
      </c>
      <c r="O54" s="152">
        <v>2000000</v>
      </c>
      <c r="P54" s="152">
        <v>2000000</v>
      </c>
      <c r="Q54" s="152">
        <v>2000000</v>
      </c>
      <c r="R54" s="152">
        <v>2200000</v>
      </c>
      <c r="S54" s="152">
        <v>2200000</v>
      </c>
      <c r="T54" s="152">
        <v>2200000</v>
      </c>
      <c r="U54" s="152">
        <v>2400000</v>
      </c>
      <c r="V54" s="152">
        <v>2400000</v>
      </c>
      <c r="W54" s="164">
        <f>SUM(E54:J54)</f>
        <v>7202000</v>
      </c>
      <c r="X54" s="152">
        <f>SUM(K54:V54)</f>
        <v>24400000</v>
      </c>
    </row>
    <row r="55" spans="6:24" ht="1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61"/>
      <c r="X55" s="10"/>
    </row>
    <row r="56" ht="15">
      <c r="W56" s="161"/>
    </row>
    <row r="57" spans="1:24" s="152" customFormat="1" ht="15">
      <c r="A57" s="154" t="s">
        <v>19</v>
      </c>
      <c r="F57" s="153">
        <f aca="true" t="shared" si="14" ref="F57:V57">SUM(F53:F54)</f>
        <v>2000666</v>
      </c>
      <c r="G57" s="153">
        <f t="shared" si="14"/>
        <v>2000666</v>
      </c>
      <c r="H57" s="153">
        <f t="shared" si="14"/>
        <v>2000666</v>
      </c>
      <c r="I57" s="153">
        <f t="shared" si="14"/>
        <v>2400000</v>
      </c>
      <c r="J57" s="153">
        <f t="shared" si="14"/>
        <v>2400000</v>
      </c>
      <c r="K57" s="153">
        <f t="shared" si="14"/>
        <v>2400000</v>
      </c>
      <c r="L57" s="153">
        <f t="shared" si="14"/>
        <v>2800000</v>
      </c>
      <c r="M57" s="153">
        <f t="shared" si="14"/>
        <v>2800000</v>
      </c>
      <c r="N57" s="153">
        <f t="shared" si="14"/>
        <v>2800000</v>
      </c>
      <c r="O57" s="153">
        <f t="shared" si="14"/>
        <v>3200000</v>
      </c>
      <c r="P57" s="153">
        <f t="shared" si="14"/>
        <v>3200000</v>
      </c>
      <c r="Q57" s="153">
        <f t="shared" si="14"/>
        <v>3200000</v>
      </c>
      <c r="R57" s="153">
        <f t="shared" si="14"/>
        <v>3600000</v>
      </c>
      <c r="S57" s="153">
        <f t="shared" si="14"/>
        <v>3600000</v>
      </c>
      <c r="T57" s="153">
        <f t="shared" si="14"/>
        <v>3600000</v>
      </c>
      <c r="U57" s="153">
        <f t="shared" si="14"/>
        <v>4000000</v>
      </c>
      <c r="V57" s="153">
        <f t="shared" si="14"/>
        <v>4000000</v>
      </c>
      <c r="W57" s="166">
        <f>SUM(E57:J57)</f>
        <v>10801998</v>
      </c>
      <c r="X57" s="153">
        <f>SUM(K57:V57)</f>
        <v>39200000</v>
      </c>
    </row>
    <row r="58" s="152" customFormat="1" ht="15">
      <c r="W58" s="164"/>
    </row>
    <row r="59" s="152" customFormat="1" ht="15">
      <c r="W59" s="164"/>
    </row>
    <row r="60" spans="1:24" s="152" customFormat="1" ht="15">
      <c r="A60" s="154" t="s">
        <v>101</v>
      </c>
      <c r="F60" s="152">
        <f aca="true" t="shared" si="15" ref="F60:V60">F48-F57</f>
        <v>-1988041.8333333333</v>
      </c>
      <c r="G60" s="152">
        <f t="shared" si="15"/>
        <v>-361800.16666666674</v>
      </c>
      <c r="H60" s="152">
        <f t="shared" si="15"/>
        <v>-1609316.8333333333</v>
      </c>
      <c r="I60" s="152">
        <f t="shared" si="15"/>
        <v>-1645259.15</v>
      </c>
      <c r="J60" s="152">
        <f t="shared" si="15"/>
        <v>206374.3500000001</v>
      </c>
      <c r="K60" s="152">
        <f t="shared" si="15"/>
        <v>-842841.9833333329</v>
      </c>
      <c r="L60" s="152">
        <f t="shared" si="15"/>
        <v>-930058.1666666665</v>
      </c>
      <c r="M60" s="152">
        <f t="shared" si="15"/>
        <v>993634</v>
      </c>
      <c r="N60" s="152">
        <f t="shared" si="15"/>
        <v>-109765.33333333302</v>
      </c>
      <c r="O60" s="152">
        <f t="shared" si="15"/>
        <v>151076.8500000001</v>
      </c>
      <c r="P60" s="152">
        <f t="shared" si="15"/>
        <v>2300160.8499999996</v>
      </c>
      <c r="Q60" s="152">
        <f t="shared" si="15"/>
        <v>1449244.8499999996</v>
      </c>
      <c r="R60" s="152">
        <f t="shared" si="15"/>
        <v>1406995.833333334</v>
      </c>
      <c r="S60" s="152">
        <f t="shared" si="15"/>
        <v>3501896.833333334</v>
      </c>
      <c r="T60" s="152">
        <f t="shared" si="15"/>
        <v>2849281.166666668</v>
      </c>
      <c r="U60" s="152">
        <f t="shared" si="15"/>
        <v>3840481.8499999996</v>
      </c>
      <c r="V60" s="152">
        <f t="shared" si="15"/>
        <v>6440349.516666668</v>
      </c>
      <c r="W60" s="164">
        <f>SUM(E60:J60)</f>
        <v>-5398043.633333333</v>
      </c>
      <c r="X60" s="152">
        <f>SUM(K60:V60)</f>
        <v>21050456.26666667</v>
      </c>
    </row>
    <row r="61" ht="15">
      <c r="W61" s="161"/>
    </row>
    <row r="62" ht="15">
      <c r="W62" s="161"/>
    </row>
    <row r="63" spans="1:23" s="143" customFormat="1" ht="15">
      <c r="A63" s="143" t="s">
        <v>3</v>
      </c>
      <c r="C63" s="144" t="s">
        <v>11</v>
      </c>
      <c r="W63" s="168"/>
    </row>
    <row r="64" spans="1:24" s="155" customFormat="1" ht="15">
      <c r="A64" s="155" t="s">
        <v>25</v>
      </c>
      <c r="C64" s="155">
        <v>5000</v>
      </c>
      <c r="F64" s="155">
        <f>+F11*$C$64</f>
        <v>25000</v>
      </c>
      <c r="G64" s="155">
        <f aca="true" t="shared" si="16" ref="G64:V64">+G11*$C$64</f>
        <v>250000</v>
      </c>
      <c r="H64" s="155">
        <f t="shared" si="16"/>
        <v>500000</v>
      </c>
      <c r="I64" s="155">
        <f t="shared" si="16"/>
        <v>750000</v>
      </c>
      <c r="J64" s="155">
        <f t="shared" si="16"/>
        <v>1000000</v>
      </c>
      <c r="K64" s="155">
        <f t="shared" si="16"/>
        <v>1500000</v>
      </c>
      <c r="L64" s="155">
        <f t="shared" si="16"/>
        <v>1500000</v>
      </c>
      <c r="M64" s="155">
        <f t="shared" si="16"/>
        <v>1750000</v>
      </c>
      <c r="N64" s="155">
        <f t="shared" si="16"/>
        <v>2000000</v>
      </c>
      <c r="O64" s="155">
        <f t="shared" si="16"/>
        <v>2250000</v>
      </c>
      <c r="P64" s="155">
        <f t="shared" si="16"/>
        <v>2500000</v>
      </c>
      <c r="Q64" s="155">
        <f t="shared" si="16"/>
        <v>2500000</v>
      </c>
      <c r="R64" s="155">
        <f t="shared" si="16"/>
        <v>2500000</v>
      </c>
      <c r="S64" s="155">
        <f t="shared" si="16"/>
        <v>3000000</v>
      </c>
      <c r="T64" s="155">
        <f t="shared" si="16"/>
        <v>3500000</v>
      </c>
      <c r="U64" s="155">
        <f t="shared" si="16"/>
        <v>4000000</v>
      </c>
      <c r="V64" s="155">
        <f t="shared" si="16"/>
        <v>4000000</v>
      </c>
      <c r="W64" s="169">
        <f>SUM(E64:J64)</f>
        <v>2525000</v>
      </c>
      <c r="X64" s="155">
        <f>SUM(K64:V64)</f>
        <v>31000000</v>
      </c>
    </row>
  </sheetData>
  <sheetProtection/>
  <printOptions/>
  <pageMargins left="0.75" right="0.75" top="1" bottom="1" header="0.5" footer="0.5"/>
  <pageSetup fitToWidth="3" horizontalDpi="300" verticalDpi="300" orientation="landscape" scale="49" r:id="rId1"/>
  <headerFooter alignWithMargins="0">
    <oddFooter>&amp;L&amp;F&amp;R&amp;D</oddFooter>
  </headerFooter>
  <colBreaks count="2" manualBreakCount="2">
    <brk id="10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60" zoomScalePageLayoutView="0" workbookViewId="0" topLeftCell="D1">
      <selection activeCell="H31" sqref="H31"/>
    </sheetView>
  </sheetViews>
  <sheetFormatPr defaultColWidth="9.140625" defaultRowHeight="12.75"/>
  <cols>
    <col min="2" max="2" width="33.57421875" style="0" customWidth="1"/>
    <col min="3" max="3" width="5.421875" style="0" customWidth="1"/>
    <col min="4" max="22" width="13.7109375" style="0" customWidth="1"/>
  </cols>
  <sheetData>
    <row r="1" spans="1:22" ht="12">
      <c r="A1" s="12"/>
      <c r="B1" s="13"/>
      <c r="C1" s="14"/>
      <c r="D1" s="12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">
      <c r="A2" s="16"/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2">
      <c r="A3" s="12"/>
      <c r="B3" s="13"/>
      <c r="C3" s="14"/>
      <c r="D3" s="12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">
      <c r="A4" s="12"/>
      <c r="B4" s="17" t="s">
        <v>30</v>
      </c>
      <c r="C4" s="18"/>
      <c r="D4" s="12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 thickBot="1">
      <c r="A5" s="12"/>
      <c r="B5" s="19"/>
      <c r="C5" s="15"/>
      <c r="D5" s="12"/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5">
      <c r="A6" s="12"/>
      <c r="B6" s="20" t="s">
        <v>31</v>
      </c>
      <c r="C6" s="21"/>
      <c r="D6" s="113" t="s">
        <v>95</v>
      </c>
      <c r="E6" s="113" t="s">
        <v>96</v>
      </c>
      <c r="F6" s="113" t="s">
        <v>97</v>
      </c>
      <c r="G6" s="113" t="s">
        <v>98</v>
      </c>
      <c r="H6" s="113" t="s">
        <v>99</v>
      </c>
      <c r="I6" s="114">
        <v>39478</v>
      </c>
      <c r="J6" s="114">
        <v>39506</v>
      </c>
      <c r="K6" s="114">
        <v>39538</v>
      </c>
      <c r="L6" s="114">
        <v>39568</v>
      </c>
      <c r="M6" s="114">
        <v>39599</v>
      </c>
      <c r="N6" s="114">
        <v>39629</v>
      </c>
      <c r="O6" s="114">
        <v>39660</v>
      </c>
      <c r="P6" s="114">
        <v>39691</v>
      </c>
      <c r="Q6" s="114">
        <v>39721</v>
      </c>
      <c r="R6" s="114">
        <v>39752</v>
      </c>
      <c r="S6" s="114">
        <v>39782</v>
      </c>
      <c r="T6" s="116">
        <v>39813</v>
      </c>
      <c r="U6" s="114" t="s">
        <v>120</v>
      </c>
      <c r="V6" s="116" t="s">
        <v>121</v>
      </c>
    </row>
    <row r="7" spans="1:22" ht="12.75">
      <c r="A7" s="12"/>
      <c r="B7" s="22" t="s">
        <v>94</v>
      </c>
      <c r="C7" s="23"/>
      <c r="D7" s="24">
        <f>+Assump!F30</f>
        <v>16666.666666666668</v>
      </c>
      <c r="E7" s="24">
        <f>+Assump!G30</f>
        <v>1683333.3333333333</v>
      </c>
      <c r="F7" s="24">
        <f>+Assump!H30</f>
        <v>516666.6666666667</v>
      </c>
      <c r="G7" s="24">
        <f>+Assump!I30</f>
        <v>1000000</v>
      </c>
      <c r="H7" s="24">
        <f>+Assump!J30</f>
        <v>3000000</v>
      </c>
      <c r="I7" s="24">
        <f>+Assump!K30</f>
        <v>2166666.666666667</v>
      </c>
      <c r="J7" s="24">
        <f>+Assump!L30</f>
        <v>2683333.3333333335</v>
      </c>
      <c r="K7" s="24">
        <f>+Assump!M30</f>
        <v>4850000</v>
      </c>
      <c r="L7" s="24">
        <f>+Assump!N30</f>
        <v>4016666.666666667</v>
      </c>
      <c r="M7" s="24">
        <f>+Assump!O30</f>
        <v>5000000</v>
      </c>
      <c r="N7" s="24">
        <f>+Assump!P30</f>
        <v>7500000</v>
      </c>
      <c r="O7" s="24">
        <f>+Assump!Q30</f>
        <v>7000000</v>
      </c>
      <c r="P7" s="24">
        <f>+Assump!R30</f>
        <v>7683333.333333334</v>
      </c>
      <c r="Q7" s="24">
        <f>+Assump!S30</f>
        <v>10183333.333333334</v>
      </c>
      <c r="R7" s="24">
        <f>+Assump!T30</f>
        <v>10016666.666666668</v>
      </c>
      <c r="S7" s="24">
        <f>+Assump!U30</f>
        <v>12000000</v>
      </c>
      <c r="T7" s="25">
        <f>+Assump!V30</f>
        <v>15166666.666666668</v>
      </c>
      <c r="U7" s="24">
        <f>SUM(D7:H7)</f>
        <v>6216666.666666666</v>
      </c>
      <c r="V7" s="25">
        <f>SUM(I7:T7)</f>
        <v>88266666.66666667</v>
      </c>
    </row>
    <row r="8" spans="1:22" ht="12">
      <c r="A8" s="12"/>
      <c r="B8" s="28"/>
      <c r="C8" s="1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  <c r="U8" s="29"/>
      <c r="V8" s="30"/>
    </row>
    <row r="9" spans="1:22" ht="12">
      <c r="A9" s="12"/>
      <c r="B9" s="31" t="s">
        <v>32</v>
      </c>
      <c r="C9" s="32"/>
      <c r="D9" s="24">
        <f>+Assump!F45</f>
        <v>4042.5</v>
      </c>
      <c r="E9" s="24">
        <f>+Assump!G45</f>
        <v>44467.5</v>
      </c>
      <c r="F9" s="24">
        <f>+Assump!H45</f>
        <v>125317.5</v>
      </c>
      <c r="G9" s="24">
        <f>+Assump!I45</f>
        <v>245259.15</v>
      </c>
      <c r="H9" s="24">
        <f>+Assump!J45</f>
        <v>393625.65</v>
      </c>
      <c r="I9" s="24">
        <f>+Assump!K45</f>
        <v>609508.65</v>
      </c>
      <c r="J9" s="24">
        <f>+Assump!L45</f>
        <v>813391.5</v>
      </c>
      <c r="K9" s="24">
        <f>+Assump!M45</f>
        <v>1056366</v>
      </c>
      <c r="L9" s="24">
        <f>+Assump!N45</f>
        <v>1326432</v>
      </c>
      <c r="M9" s="24">
        <f>+Assump!O45</f>
        <v>1648923.15</v>
      </c>
      <c r="N9" s="24">
        <f>+Assump!P45</f>
        <v>1999839.15</v>
      </c>
      <c r="O9" s="24">
        <f>+Assump!Q45</f>
        <v>2350755.15</v>
      </c>
      <c r="P9" s="24">
        <f>+Assump!R45</f>
        <v>2676337.5</v>
      </c>
      <c r="Q9" s="24">
        <f>+Assump!S45</f>
        <v>3081436.5</v>
      </c>
      <c r="R9" s="24">
        <f>+Assump!T45</f>
        <v>3567385.5</v>
      </c>
      <c r="S9" s="24">
        <f>+Assump!U45</f>
        <v>4159518.15</v>
      </c>
      <c r="T9" s="25">
        <f>+Assump!V45</f>
        <v>4726317.15</v>
      </c>
      <c r="U9" s="24">
        <f>SUM(D9:H9)</f>
        <v>812712.3</v>
      </c>
      <c r="V9" s="25">
        <f>SUM(I9:T9)</f>
        <v>28016210.4</v>
      </c>
    </row>
    <row r="10" spans="1:22" ht="12">
      <c r="A10" s="12"/>
      <c r="B10" s="31"/>
      <c r="C10" s="3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4"/>
      <c r="V10" s="25"/>
    </row>
    <row r="11" spans="1:22" ht="12">
      <c r="A11" s="12"/>
      <c r="B11" s="31"/>
      <c r="C11" s="32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4"/>
      <c r="V11" s="25"/>
    </row>
    <row r="12" spans="1:22" ht="12.75">
      <c r="A12" s="12"/>
      <c r="B12" s="34" t="s">
        <v>33</v>
      </c>
      <c r="C12" s="35"/>
      <c r="D12" s="36">
        <f>+D7-D9</f>
        <v>12624.166666666668</v>
      </c>
      <c r="E12" s="36">
        <f aca="true" t="shared" si="0" ref="E12:V12">+E7-E9</f>
        <v>1638865.8333333333</v>
      </c>
      <c r="F12" s="36">
        <f t="shared" si="0"/>
        <v>391349.1666666667</v>
      </c>
      <c r="G12" s="36">
        <f t="shared" si="0"/>
        <v>754740.85</v>
      </c>
      <c r="H12" s="36">
        <f t="shared" si="0"/>
        <v>2606374.35</v>
      </c>
      <c r="I12" s="36">
        <f t="shared" si="0"/>
        <v>1557158.016666667</v>
      </c>
      <c r="J12" s="36">
        <f t="shared" si="0"/>
        <v>1869941.8333333335</v>
      </c>
      <c r="K12" s="36">
        <f t="shared" si="0"/>
        <v>3793634</v>
      </c>
      <c r="L12" s="36">
        <f t="shared" si="0"/>
        <v>2690234.666666667</v>
      </c>
      <c r="M12" s="36">
        <f t="shared" si="0"/>
        <v>3351076.85</v>
      </c>
      <c r="N12" s="36">
        <f t="shared" si="0"/>
        <v>5500160.85</v>
      </c>
      <c r="O12" s="36">
        <f t="shared" si="0"/>
        <v>4649244.85</v>
      </c>
      <c r="P12" s="36">
        <f t="shared" si="0"/>
        <v>5006995.833333334</v>
      </c>
      <c r="Q12" s="36">
        <f t="shared" si="0"/>
        <v>7101896.833333334</v>
      </c>
      <c r="R12" s="36">
        <f t="shared" si="0"/>
        <v>6449281.166666668</v>
      </c>
      <c r="S12" s="36">
        <f t="shared" si="0"/>
        <v>7840481.85</v>
      </c>
      <c r="T12" s="37">
        <f t="shared" si="0"/>
        <v>10440349.516666668</v>
      </c>
      <c r="U12" s="36">
        <f t="shared" si="0"/>
        <v>5403954.366666666</v>
      </c>
      <c r="V12" s="37">
        <f t="shared" si="0"/>
        <v>60250456.26666667</v>
      </c>
    </row>
    <row r="13" spans="1:22" ht="12">
      <c r="A13" s="12"/>
      <c r="B13" s="28"/>
      <c r="C13" s="15"/>
      <c r="D13" s="156">
        <f aca="true" t="shared" si="1" ref="D13:J13">D12/D7</f>
        <v>0.7574500000000001</v>
      </c>
      <c r="E13" s="156">
        <f t="shared" si="1"/>
        <v>0.9735836633663366</v>
      </c>
      <c r="F13" s="156">
        <f t="shared" si="1"/>
        <v>0.75745</v>
      </c>
      <c r="G13" s="156">
        <f t="shared" si="1"/>
        <v>0.75474085</v>
      </c>
      <c r="H13" s="156">
        <f t="shared" si="1"/>
        <v>0.86879145</v>
      </c>
      <c r="I13" s="156">
        <f t="shared" si="1"/>
        <v>0.7186883153846154</v>
      </c>
      <c r="J13" s="156">
        <f t="shared" si="1"/>
        <v>0.6968727329192547</v>
      </c>
      <c r="K13" s="156">
        <f aca="true" t="shared" si="2" ref="K13:T13">K12/K7</f>
        <v>0.7821925773195876</v>
      </c>
      <c r="L13" s="156">
        <f t="shared" si="2"/>
        <v>0.6697679668049793</v>
      </c>
      <c r="M13" s="156">
        <f t="shared" si="2"/>
        <v>0.67021537</v>
      </c>
      <c r="N13" s="156">
        <f t="shared" si="2"/>
        <v>0.73335478</v>
      </c>
      <c r="O13" s="156">
        <f t="shared" si="2"/>
        <v>0.6641778357142857</v>
      </c>
      <c r="P13" s="156">
        <f t="shared" si="2"/>
        <v>0.6516697396963124</v>
      </c>
      <c r="Q13" s="156">
        <f t="shared" si="2"/>
        <v>0.6974039443535188</v>
      </c>
      <c r="R13" s="156">
        <f t="shared" si="2"/>
        <v>0.6438550249584027</v>
      </c>
      <c r="S13" s="156">
        <f t="shared" si="2"/>
        <v>0.6533734875</v>
      </c>
      <c r="T13" s="157">
        <f t="shared" si="2"/>
        <v>0.6883746934065934</v>
      </c>
      <c r="U13" s="156">
        <f>U12/U7</f>
        <v>0.869268798927614</v>
      </c>
      <c r="V13" s="157">
        <f>V12/V7</f>
        <v>0.6825958036253776</v>
      </c>
    </row>
    <row r="14" spans="1:22" ht="12.75">
      <c r="A14" s="12"/>
      <c r="B14" s="22" t="s">
        <v>18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4"/>
      <c r="V14" s="25"/>
    </row>
    <row r="15" spans="1:22" ht="12">
      <c r="A15" s="12"/>
      <c r="B15" s="28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4"/>
      <c r="V15" s="25"/>
    </row>
    <row r="16" spans="1:22" ht="12">
      <c r="A16" s="12"/>
      <c r="B16" s="28" t="s">
        <v>34</v>
      </c>
      <c r="C16" s="15"/>
      <c r="D16" s="24">
        <f>+Assump!F54</f>
        <v>1334000</v>
      </c>
      <c r="E16" s="24">
        <f>+Assump!G54</f>
        <v>1334000</v>
      </c>
      <c r="F16" s="24">
        <f>+Assump!H54</f>
        <v>1334000</v>
      </c>
      <c r="G16" s="24">
        <f>+Assump!I54</f>
        <v>1600000</v>
      </c>
      <c r="H16" s="24">
        <f>+Assump!J54</f>
        <v>1600000</v>
      </c>
      <c r="I16" s="24">
        <f>+Assump!K54</f>
        <v>1600000</v>
      </c>
      <c r="J16" s="24">
        <f>+Assump!L54</f>
        <v>1800000</v>
      </c>
      <c r="K16" s="24">
        <f>+Assump!M54</f>
        <v>1800000</v>
      </c>
      <c r="L16" s="24">
        <f>+Assump!N54</f>
        <v>1800000</v>
      </c>
      <c r="M16" s="24">
        <f>+Assump!O54</f>
        <v>2000000</v>
      </c>
      <c r="N16" s="24">
        <f>+Assump!P54</f>
        <v>2000000</v>
      </c>
      <c r="O16" s="24">
        <f>+Assump!Q54</f>
        <v>2000000</v>
      </c>
      <c r="P16" s="24">
        <f>+Assump!R54</f>
        <v>2200000</v>
      </c>
      <c r="Q16" s="24">
        <f>+Assump!S54</f>
        <v>2200000</v>
      </c>
      <c r="R16" s="24">
        <f>+Assump!T54</f>
        <v>2200000</v>
      </c>
      <c r="S16" s="24">
        <f>+Assump!U54</f>
        <v>2400000</v>
      </c>
      <c r="T16" s="25">
        <f>+Assump!V54</f>
        <v>2400000</v>
      </c>
      <c r="U16" s="24">
        <f>SUM(D16:H16)</f>
        <v>7202000</v>
      </c>
      <c r="V16" s="25">
        <f>SUM(I16:T16)</f>
        <v>24400000</v>
      </c>
    </row>
    <row r="17" spans="1:22" ht="12">
      <c r="A17" s="12"/>
      <c r="B17" s="28"/>
      <c r="C17" s="1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4"/>
      <c r="V17" s="25"/>
    </row>
    <row r="18" spans="1:22" ht="12">
      <c r="A18" s="12"/>
      <c r="B18" s="28" t="s">
        <v>35</v>
      </c>
      <c r="C18" s="15"/>
      <c r="D18" s="24">
        <f>+Assump!F53</f>
        <v>666666</v>
      </c>
      <c r="E18" s="24">
        <f>+Assump!G53</f>
        <v>666666</v>
      </c>
      <c r="F18" s="24">
        <f>+Assump!H53</f>
        <v>666666</v>
      </c>
      <c r="G18" s="24">
        <f>+Assump!I53</f>
        <v>800000</v>
      </c>
      <c r="H18" s="24">
        <f>+Assump!J53</f>
        <v>800000</v>
      </c>
      <c r="I18" s="24">
        <f>+Assump!K53</f>
        <v>800000</v>
      </c>
      <c r="J18" s="24">
        <f>+Assump!L53</f>
        <v>1000000</v>
      </c>
      <c r="K18" s="24">
        <f>+Assump!M53</f>
        <v>1000000</v>
      </c>
      <c r="L18" s="24">
        <f>+Assump!N53</f>
        <v>1000000</v>
      </c>
      <c r="M18" s="24">
        <f>+Assump!O53</f>
        <v>1200000</v>
      </c>
      <c r="N18" s="24">
        <f>+Assump!P53</f>
        <v>1200000</v>
      </c>
      <c r="O18" s="24">
        <f>+Assump!Q53</f>
        <v>1200000</v>
      </c>
      <c r="P18" s="24">
        <f>+Assump!R53</f>
        <v>1400000</v>
      </c>
      <c r="Q18" s="24">
        <f>+Assump!S53</f>
        <v>1400000</v>
      </c>
      <c r="R18" s="24">
        <f>+Assump!T53</f>
        <v>1400000</v>
      </c>
      <c r="S18" s="24">
        <f>+Assump!U53</f>
        <v>1600000</v>
      </c>
      <c r="T18" s="25">
        <f>+Assump!V53</f>
        <v>1600000</v>
      </c>
      <c r="U18" s="24">
        <f>SUM(D18:H18)</f>
        <v>3599998</v>
      </c>
      <c r="V18" s="25">
        <f>SUM(I18:T18)</f>
        <v>14800000</v>
      </c>
    </row>
    <row r="19" spans="1:22" ht="12">
      <c r="A19" s="12"/>
      <c r="B19" s="28"/>
      <c r="C19" s="1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  <c r="V19" s="30"/>
    </row>
    <row r="20" spans="1:22" s="123" customFormat="1" ht="12.75">
      <c r="A20" s="26"/>
      <c r="B20" s="22" t="s">
        <v>19</v>
      </c>
      <c r="C20" s="23"/>
      <c r="D20" s="27">
        <f aca="true" t="shared" si="3" ref="D20:V20">+D16+D18</f>
        <v>2000666</v>
      </c>
      <c r="E20" s="27">
        <f t="shared" si="3"/>
        <v>2000666</v>
      </c>
      <c r="F20" s="27">
        <f t="shared" si="3"/>
        <v>2000666</v>
      </c>
      <c r="G20" s="27">
        <f t="shared" si="3"/>
        <v>2400000</v>
      </c>
      <c r="H20" s="27">
        <f t="shared" si="3"/>
        <v>2400000</v>
      </c>
      <c r="I20" s="27">
        <f t="shared" si="3"/>
        <v>2400000</v>
      </c>
      <c r="J20" s="27">
        <f t="shared" si="3"/>
        <v>2800000</v>
      </c>
      <c r="K20" s="27">
        <f t="shared" si="3"/>
        <v>2800000</v>
      </c>
      <c r="L20" s="27">
        <f t="shared" si="3"/>
        <v>2800000</v>
      </c>
      <c r="M20" s="27">
        <f t="shared" si="3"/>
        <v>3200000</v>
      </c>
      <c r="N20" s="27">
        <f t="shared" si="3"/>
        <v>3200000</v>
      </c>
      <c r="O20" s="27">
        <f t="shared" si="3"/>
        <v>3200000</v>
      </c>
      <c r="P20" s="27">
        <f t="shared" si="3"/>
        <v>3600000</v>
      </c>
      <c r="Q20" s="27">
        <f t="shared" si="3"/>
        <v>3600000</v>
      </c>
      <c r="R20" s="27">
        <f t="shared" si="3"/>
        <v>3600000</v>
      </c>
      <c r="S20" s="27">
        <f t="shared" si="3"/>
        <v>4000000</v>
      </c>
      <c r="T20" s="122">
        <f t="shared" si="3"/>
        <v>4000000</v>
      </c>
      <c r="U20" s="27">
        <f t="shared" si="3"/>
        <v>10801998</v>
      </c>
      <c r="V20" s="122">
        <f t="shared" si="3"/>
        <v>39200000</v>
      </c>
    </row>
    <row r="21" spans="1:22" ht="12">
      <c r="A21" s="12"/>
      <c r="B21" s="28"/>
      <c r="C21" s="1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  <c r="V21" s="30"/>
    </row>
    <row r="22" spans="1:22" ht="12.75">
      <c r="A22" s="12"/>
      <c r="B22" s="34" t="s">
        <v>101</v>
      </c>
      <c r="C22" s="35"/>
      <c r="D22" s="36">
        <f aca="true" t="shared" si="4" ref="D22:V22">+D12-D20</f>
        <v>-1988041.8333333333</v>
      </c>
      <c r="E22" s="36">
        <f t="shared" si="4"/>
        <v>-361800.16666666674</v>
      </c>
      <c r="F22" s="36">
        <f t="shared" si="4"/>
        <v>-1609316.8333333333</v>
      </c>
      <c r="G22" s="36">
        <f t="shared" si="4"/>
        <v>-1645259.15</v>
      </c>
      <c r="H22" s="36">
        <f t="shared" si="4"/>
        <v>206374.3500000001</v>
      </c>
      <c r="I22" s="36">
        <f t="shared" si="4"/>
        <v>-842841.9833333329</v>
      </c>
      <c r="J22" s="36">
        <f t="shared" si="4"/>
        <v>-930058.1666666665</v>
      </c>
      <c r="K22" s="36">
        <f t="shared" si="4"/>
        <v>993634</v>
      </c>
      <c r="L22" s="36">
        <f t="shared" si="4"/>
        <v>-109765.33333333302</v>
      </c>
      <c r="M22" s="36">
        <f t="shared" si="4"/>
        <v>151076.8500000001</v>
      </c>
      <c r="N22" s="36">
        <f t="shared" si="4"/>
        <v>2300160.8499999996</v>
      </c>
      <c r="O22" s="36">
        <f t="shared" si="4"/>
        <v>1449244.8499999996</v>
      </c>
      <c r="P22" s="36">
        <f t="shared" si="4"/>
        <v>1406995.833333334</v>
      </c>
      <c r="Q22" s="36">
        <f t="shared" si="4"/>
        <v>3501896.833333334</v>
      </c>
      <c r="R22" s="36">
        <f t="shared" si="4"/>
        <v>2849281.166666668</v>
      </c>
      <c r="S22" s="36">
        <f t="shared" si="4"/>
        <v>3840481.8499999996</v>
      </c>
      <c r="T22" s="37">
        <f t="shared" si="4"/>
        <v>6440349.516666668</v>
      </c>
      <c r="U22" s="36">
        <f t="shared" si="4"/>
        <v>-5398043.633333334</v>
      </c>
      <c r="V22" s="37">
        <f t="shared" si="4"/>
        <v>21050456.266666673</v>
      </c>
    </row>
    <row r="23" spans="1:22" ht="12">
      <c r="A23" s="12"/>
      <c r="B23" s="28"/>
      <c r="C23" s="15"/>
      <c r="D23" s="156"/>
      <c r="E23" s="156">
        <f aca="true" t="shared" si="5" ref="E23:V23">+E22/E7</f>
        <v>-0.21493079207920798</v>
      </c>
      <c r="F23" s="156">
        <f t="shared" si="5"/>
        <v>-3.114806774193548</v>
      </c>
      <c r="G23" s="156">
        <f t="shared" si="5"/>
        <v>-1.64525915</v>
      </c>
      <c r="H23" s="156">
        <f t="shared" si="5"/>
        <v>0.06879145000000003</v>
      </c>
      <c r="I23" s="156">
        <f t="shared" si="5"/>
        <v>-0.38900399230769206</v>
      </c>
      <c r="J23" s="156">
        <f t="shared" si="5"/>
        <v>-0.34660552795031047</v>
      </c>
      <c r="K23" s="156">
        <f t="shared" si="5"/>
        <v>0.20487298969072165</v>
      </c>
      <c r="L23" s="156">
        <f t="shared" si="5"/>
        <v>-0.02732746887966797</v>
      </c>
      <c r="M23" s="156">
        <f t="shared" si="5"/>
        <v>0.03021537000000002</v>
      </c>
      <c r="N23" s="156">
        <f t="shared" si="5"/>
        <v>0.3066881133333333</v>
      </c>
      <c r="O23" s="156">
        <f t="shared" si="5"/>
        <v>0.20703497857142852</v>
      </c>
      <c r="P23" s="156">
        <f t="shared" si="5"/>
        <v>0.1831231019522777</v>
      </c>
      <c r="Q23" s="156">
        <f t="shared" si="5"/>
        <v>0.3438851227495909</v>
      </c>
      <c r="R23" s="156">
        <f t="shared" si="5"/>
        <v>0.28445402662229624</v>
      </c>
      <c r="S23" s="156">
        <f t="shared" si="5"/>
        <v>0.32004015416666665</v>
      </c>
      <c r="T23" s="157">
        <f t="shared" si="5"/>
        <v>0.4246384296703297</v>
      </c>
      <c r="U23" s="156">
        <f t="shared" si="5"/>
        <v>-0.8683180107238607</v>
      </c>
      <c r="V23" s="157">
        <f t="shared" si="5"/>
        <v>0.23848704229607257</v>
      </c>
    </row>
    <row r="24" spans="1:22" ht="12.75" thickBot="1">
      <c r="A24" s="12"/>
      <c r="B24" s="41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3"/>
      <c r="V24" s="44"/>
    </row>
  </sheetData>
  <sheetProtection/>
  <printOptions/>
  <pageMargins left="0.25" right="0.25" top="1" bottom="1" header="0.5" footer="0.5"/>
  <pageSetup fitToWidth="2" horizontalDpi="300" verticalDpi="300" orientation="landscape" scale="58" r:id="rId1"/>
  <headerFooter alignWithMargins="0">
    <oddFooter>&amp;L&amp;F&amp;R&amp;D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="60" zoomScalePageLayoutView="0" workbookViewId="0" topLeftCell="C5">
      <pane ySplit="690" topLeftCell="A1" activePane="bottomLeft" state="split"/>
      <selection pane="topLeft" activeCell="Q11" sqref="Q11"/>
      <selection pane="bottomLeft" activeCell="N47" sqref="N47"/>
    </sheetView>
  </sheetViews>
  <sheetFormatPr defaultColWidth="9.140625" defaultRowHeight="12.75"/>
  <cols>
    <col min="1" max="1" width="2.8515625" style="12" customWidth="1"/>
    <col min="2" max="2" width="50.57421875" style="12" customWidth="1"/>
    <col min="3" max="3" width="1.8515625" style="12" customWidth="1"/>
    <col min="4" max="4" width="10.00390625" style="12" customWidth="1"/>
    <col min="5" max="5" width="14.00390625" style="12" customWidth="1"/>
    <col min="6" max="6" width="13.7109375" style="12" bestFit="1" customWidth="1"/>
    <col min="7" max="7" width="16.8515625" style="15" customWidth="1"/>
    <col min="8" max="22" width="14.28125" style="12" bestFit="1" customWidth="1"/>
    <col min="23" max="16384" width="9.140625" style="12" customWidth="1"/>
  </cols>
  <sheetData>
    <row r="1" ht="12">
      <c r="A1" s="45"/>
    </row>
    <row r="2" spans="1:7" s="48" customFormat="1" ht="22.5" customHeight="1">
      <c r="A2" s="46"/>
      <c r="B2" s="47" t="str">
        <f>'[1]General info'!C6</f>
        <v>Theranos, Inc.</v>
      </c>
      <c r="G2" s="49"/>
    </row>
    <row r="3" ht="12">
      <c r="A3" s="45"/>
    </row>
    <row r="4" ht="12.75">
      <c r="B4" s="50" t="s">
        <v>36</v>
      </c>
    </row>
    <row r="5" ht="12.75" thickBot="1"/>
    <row r="6" spans="2:22" ht="15">
      <c r="B6" s="20" t="s">
        <v>31</v>
      </c>
      <c r="C6" s="51"/>
      <c r="D6" s="51"/>
      <c r="E6" s="117" t="s">
        <v>104</v>
      </c>
      <c r="F6" s="113" t="s">
        <v>95</v>
      </c>
      <c r="G6" s="113" t="s">
        <v>96</v>
      </c>
      <c r="H6" s="113" t="s">
        <v>97</v>
      </c>
      <c r="I6" s="113" t="s">
        <v>98</v>
      </c>
      <c r="J6" s="113" t="s">
        <v>99</v>
      </c>
      <c r="K6" s="114">
        <v>39478</v>
      </c>
      <c r="L6" s="114">
        <v>39506</v>
      </c>
      <c r="M6" s="114">
        <v>39538</v>
      </c>
      <c r="N6" s="114">
        <v>39568</v>
      </c>
      <c r="O6" s="114">
        <v>39599</v>
      </c>
      <c r="P6" s="114">
        <v>39629</v>
      </c>
      <c r="Q6" s="114">
        <v>39660</v>
      </c>
      <c r="R6" s="114">
        <v>39691</v>
      </c>
      <c r="S6" s="114">
        <v>39721</v>
      </c>
      <c r="T6" s="114">
        <v>39752</v>
      </c>
      <c r="U6" s="114">
        <v>39782</v>
      </c>
      <c r="V6" s="116">
        <v>39813</v>
      </c>
    </row>
    <row r="7" spans="2:22" ht="13.5">
      <c r="B7" s="52" t="s">
        <v>37</v>
      </c>
      <c r="C7" s="53"/>
      <c r="D7" s="53"/>
      <c r="E7" s="54"/>
      <c r="F7" s="54"/>
      <c r="G7" s="5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34"/>
    </row>
    <row r="8" spans="2:22" ht="12">
      <c r="B8" s="55" t="s">
        <v>38</v>
      </c>
      <c r="C8" s="56"/>
      <c r="D8" s="56"/>
      <c r="E8" s="57">
        <v>21000000</v>
      </c>
      <c r="F8" s="57">
        <f>+'CF'!C39</f>
        <v>18211677.1</v>
      </c>
      <c r="G8" s="57">
        <f>+'CF'!D39</f>
        <v>16007453.01666667</v>
      </c>
      <c r="H8" s="57">
        <f>+'CF'!E39</f>
        <v>15213807.850000003</v>
      </c>
      <c r="I8" s="57">
        <f>+'CF'!F39</f>
        <v>12720571.64166667</v>
      </c>
      <c r="J8" s="57">
        <f>+'CF'!G39</f>
        <v>10200426.960416669</v>
      </c>
      <c r="K8" s="57">
        <f>+'CF'!H39</f>
        <v>9230337.615104169</v>
      </c>
      <c r="L8" s="57">
        <f>+'CF'!I39</f>
        <v>6600427.726692711</v>
      </c>
      <c r="M8" s="57">
        <f>+'CF'!J39</f>
        <v>3927496.2871940127</v>
      </c>
      <c r="N8" s="57">
        <f>+'CF'!K39</f>
        <v>2944495.39272038</v>
      </c>
      <c r="O8" s="57">
        <f>+'CF'!L39</f>
        <v>406930.02558973245</v>
      </c>
      <c r="P8" s="57">
        <f>+'CF'!M39</f>
        <v>-1795960.8809174476</v>
      </c>
      <c r="Q8" s="57">
        <f>+'CF'!N39</f>
        <v>-2094754.864473987</v>
      </c>
      <c r="R8" s="57">
        <f>+'CF'!O39</f>
        <v>-3693638.601777153</v>
      </c>
      <c r="S8" s="57">
        <f>+'CF'!P39</f>
        <v>-5155793.447094703</v>
      </c>
      <c r="T8" s="57">
        <f>+'CF'!Q39</f>
        <v>-4955890.206723869</v>
      </c>
      <c r="U8" s="57">
        <f>+'CF'!R39</f>
        <v>-6057549.984122712</v>
      </c>
      <c r="V8" s="135">
        <f>+'CF'!S39</f>
        <v>-6097795.683637363</v>
      </c>
    </row>
    <row r="9" spans="2:22" ht="12">
      <c r="B9" s="55" t="s">
        <v>39</v>
      </c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136"/>
    </row>
    <row r="10" spans="2:22" ht="12">
      <c r="B10" s="55" t="s">
        <v>110</v>
      </c>
      <c r="C10" s="58"/>
      <c r="D10" s="58"/>
      <c r="E10" s="59">
        <f>+E47</f>
        <v>3000</v>
      </c>
      <c r="F10" s="59">
        <f>+F47</f>
        <v>33000</v>
      </c>
      <c r="G10" s="59">
        <f aca="true" t="shared" si="0" ref="G10:V10">+G47</f>
        <v>93000</v>
      </c>
      <c r="H10" s="59">
        <f t="shared" si="0"/>
        <v>180000</v>
      </c>
      <c r="I10" s="59">
        <f t="shared" si="0"/>
        <v>270000</v>
      </c>
      <c r="J10" s="59">
        <f t="shared" si="0"/>
        <v>390000</v>
      </c>
      <c r="K10" s="59">
        <f t="shared" si="0"/>
        <v>483000</v>
      </c>
      <c r="L10" s="59">
        <f t="shared" si="0"/>
        <v>603000</v>
      </c>
      <c r="M10" s="59">
        <f t="shared" si="0"/>
        <v>723000</v>
      </c>
      <c r="N10" s="59">
        <f t="shared" si="0"/>
        <v>900000</v>
      </c>
      <c r="O10" s="59">
        <f t="shared" si="0"/>
        <v>1080000</v>
      </c>
      <c r="P10" s="59">
        <f t="shared" si="0"/>
        <v>1260000</v>
      </c>
      <c r="Q10" s="59">
        <f t="shared" si="0"/>
        <v>1383000</v>
      </c>
      <c r="R10" s="59">
        <f t="shared" si="0"/>
        <v>1563000</v>
      </c>
      <c r="S10" s="59">
        <f t="shared" si="0"/>
        <v>1803000</v>
      </c>
      <c r="T10" s="59">
        <f t="shared" si="0"/>
        <v>2160000</v>
      </c>
      <c r="U10" s="59">
        <f t="shared" si="0"/>
        <v>2460000</v>
      </c>
      <c r="V10" s="136">
        <f t="shared" si="0"/>
        <v>2460000</v>
      </c>
    </row>
    <row r="11" spans="2:22" ht="12">
      <c r="B11" s="55" t="s">
        <v>106</v>
      </c>
      <c r="C11" s="58"/>
      <c r="D11" s="58"/>
      <c r="E11" s="59"/>
      <c r="F11" s="59">
        <f>+Assump!F64-Assump!F36</f>
        <v>23957.5</v>
      </c>
      <c r="G11" s="59">
        <f>+F11+Assump!G64-Assump!G36</f>
        <v>262490</v>
      </c>
      <c r="H11" s="59">
        <f>+G11+Assump!H64-Assump!H36</f>
        <v>730172.5</v>
      </c>
      <c r="I11" s="59">
        <f>+H11+Assump!I64-Assump!I36</f>
        <v>1416580</v>
      </c>
      <c r="J11" s="59">
        <f>+I11+Assump!J64-Assump!J36</f>
        <v>2311287.5</v>
      </c>
      <c r="K11" s="59">
        <f>+J11+Assump!K64-Assump!K36</f>
        <v>3643445</v>
      </c>
      <c r="L11" s="59">
        <f>+K11+Assump!L64-Assump!L36</f>
        <v>4913052.5</v>
      </c>
      <c r="M11" s="59">
        <f>+L11+Assump!M64-Assump!M36</f>
        <v>6359685</v>
      </c>
      <c r="N11" s="59">
        <f>+M11+Assump!N64-Assump!N36</f>
        <v>7972917.5</v>
      </c>
      <c r="O11" s="59">
        <f>+N11+Assump!O64-Assump!O36</f>
        <v>9742325</v>
      </c>
      <c r="P11" s="59">
        <f>+O11+Assump!P64-Assump!P36</f>
        <v>11657482.5</v>
      </c>
      <c r="Q11" s="59">
        <f>+P11+Assump!Q64-Assump!Q36</f>
        <v>13468390</v>
      </c>
      <c r="R11" s="59">
        <f>+Q11+Assump!R64-Assump!R36</f>
        <v>15175047.5</v>
      </c>
      <c r="S11" s="59">
        <f>+R11+Assump!S64-Assump!S36</f>
        <v>17256605</v>
      </c>
      <c r="T11" s="59">
        <f>+S11+Assump!T64-Assump!T36</f>
        <v>19692212.5</v>
      </c>
      <c r="U11" s="59">
        <f>+T11+Assump!U64-Assump!U36</f>
        <v>22461020</v>
      </c>
      <c r="V11" s="136">
        <f>+U11+Assump!V64-Assump!V36</f>
        <v>25063027.5</v>
      </c>
    </row>
    <row r="12" spans="2:22" ht="12">
      <c r="B12" s="55" t="s">
        <v>40</v>
      </c>
      <c r="C12" s="58"/>
      <c r="D12" s="58"/>
      <c r="E12" s="59">
        <v>0</v>
      </c>
      <c r="F12" s="59">
        <f aca="true" t="shared" si="1" ref="F12:V12">F44</f>
        <v>16666.666666666668</v>
      </c>
      <c r="G12" s="59">
        <f t="shared" si="1"/>
        <v>1683333.3333333333</v>
      </c>
      <c r="H12" s="59">
        <f t="shared" si="1"/>
        <v>516666.6666666667</v>
      </c>
      <c r="I12" s="59">
        <f t="shared" si="1"/>
        <v>1000000</v>
      </c>
      <c r="J12" s="59">
        <f t="shared" si="1"/>
        <v>3000000</v>
      </c>
      <c r="K12" s="59">
        <f t="shared" si="1"/>
        <v>2166666.666666667</v>
      </c>
      <c r="L12" s="59">
        <f t="shared" si="1"/>
        <v>2683333.3333333335</v>
      </c>
      <c r="M12" s="59">
        <f t="shared" si="1"/>
        <v>4850000</v>
      </c>
      <c r="N12" s="59">
        <f t="shared" si="1"/>
        <v>4016666.666666667</v>
      </c>
      <c r="O12" s="59">
        <f t="shared" si="1"/>
        <v>5000000</v>
      </c>
      <c r="P12" s="59">
        <f t="shared" si="1"/>
        <v>7500000</v>
      </c>
      <c r="Q12" s="59">
        <f t="shared" si="1"/>
        <v>7000000</v>
      </c>
      <c r="R12" s="59">
        <f t="shared" si="1"/>
        <v>7683333.333333334</v>
      </c>
      <c r="S12" s="59">
        <f t="shared" si="1"/>
        <v>10183333.333333334</v>
      </c>
      <c r="T12" s="59">
        <f t="shared" si="1"/>
        <v>10016666.666666668</v>
      </c>
      <c r="U12" s="59">
        <f t="shared" si="1"/>
        <v>12000000</v>
      </c>
      <c r="V12" s="136">
        <f t="shared" si="1"/>
        <v>15166666.666666668</v>
      </c>
    </row>
    <row r="13" spans="2:22" ht="12">
      <c r="B13" s="55" t="s">
        <v>41</v>
      </c>
      <c r="C13" s="58"/>
      <c r="D13" s="58"/>
      <c r="E13" s="59">
        <f>240000+130000</f>
        <v>370000</v>
      </c>
      <c r="F13" s="59">
        <v>400000</v>
      </c>
      <c r="G13" s="59">
        <f>+F13*1.2</f>
        <v>480000</v>
      </c>
      <c r="H13" s="59">
        <f>+G13*1.2</f>
        <v>576000</v>
      </c>
      <c r="I13" s="59">
        <f>+H13*1.2</f>
        <v>691200</v>
      </c>
      <c r="J13" s="59">
        <f>+I13*1.2</f>
        <v>829440</v>
      </c>
      <c r="K13" s="59">
        <f>+J13*1.2</f>
        <v>995328</v>
      </c>
      <c r="L13" s="59">
        <f aca="true" t="shared" si="2" ref="L13:V13">+K13*1.2</f>
        <v>1194393.5999999999</v>
      </c>
      <c r="M13" s="59">
        <f t="shared" si="2"/>
        <v>1433272.3199999998</v>
      </c>
      <c r="N13" s="59">
        <f t="shared" si="2"/>
        <v>1719926.7839999998</v>
      </c>
      <c r="O13" s="59">
        <f t="shared" si="2"/>
        <v>2063912.1407999997</v>
      </c>
      <c r="P13" s="59">
        <f t="shared" si="2"/>
        <v>2476694.5689599994</v>
      </c>
      <c r="Q13" s="59">
        <f t="shared" si="2"/>
        <v>2972033.482751999</v>
      </c>
      <c r="R13" s="59">
        <f t="shared" si="2"/>
        <v>3566440.1793023986</v>
      </c>
      <c r="S13" s="59">
        <f t="shared" si="2"/>
        <v>4279728.215162878</v>
      </c>
      <c r="T13" s="59">
        <f t="shared" si="2"/>
        <v>5135673.858195453</v>
      </c>
      <c r="U13" s="59">
        <f t="shared" si="2"/>
        <v>6162808.629834543</v>
      </c>
      <c r="V13" s="136">
        <f t="shared" si="2"/>
        <v>7395370.355801451</v>
      </c>
    </row>
    <row r="14" spans="2:22" ht="12.75">
      <c r="B14" s="60" t="s">
        <v>42</v>
      </c>
      <c r="C14" s="61"/>
      <c r="D14" s="61"/>
      <c r="E14" s="62">
        <f aca="true" t="shared" si="3" ref="E14:K14">SUM(E8:E13)</f>
        <v>21373000</v>
      </c>
      <c r="F14" s="62">
        <f t="shared" si="3"/>
        <v>18685301.26666667</v>
      </c>
      <c r="G14" s="62">
        <f t="shared" si="3"/>
        <v>18526276.35</v>
      </c>
      <c r="H14" s="62">
        <f t="shared" si="3"/>
        <v>17216647.01666667</v>
      </c>
      <c r="I14" s="62">
        <f t="shared" si="3"/>
        <v>16098351.64166667</v>
      </c>
      <c r="J14" s="62">
        <f t="shared" si="3"/>
        <v>16731154.460416669</v>
      </c>
      <c r="K14" s="62">
        <f t="shared" si="3"/>
        <v>16518777.281770837</v>
      </c>
      <c r="L14" s="62">
        <f aca="true" t="shared" si="4" ref="L14:V14">SUM(L8:L13)</f>
        <v>15994207.160026044</v>
      </c>
      <c r="M14" s="62">
        <f t="shared" si="4"/>
        <v>17293453.607194014</v>
      </c>
      <c r="N14" s="62">
        <f t="shared" si="4"/>
        <v>17554006.343387045</v>
      </c>
      <c r="O14" s="62">
        <f t="shared" si="4"/>
        <v>18293167.166389734</v>
      </c>
      <c r="P14" s="62">
        <f t="shared" si="4"/>
        <v>21098216.18804255</v>
      </c>
      <c r="Q14" s="62">
        <f t="shared" si="4"/>
        <v>22728668.61827801</v>
      </c>
      <c r="R14" s="62">
        <f t="shared" si="4"/>
        <v>24294182.41085858</v>
      </c>
      <c r="S14" s="62">
        <f t="shared" si="4"/>
        <v>28366873.101401508</v>
      </c>
      <c r="T14" s="62">
        <f t="shared" si="4"/>
        <v>32048662.818138253</v>
      </c>
      <c r="U14" s="62">
        <f t="shared" si="4"/>
        <v>37026278.64571183</v>
      </c>
      <c r="V14" s="127">
        <f t="shared" si="4"/>
        <v>43987268.838830754</v>
      </c>
    </row>
    <row r="15" spans="2:22" ht="12">
      <c r="B15" s="63"/>
      <c r="C15" s="64"/>
      <c r="D15" s="6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136"/>
    </row>
    <row r="16" spans="2:22" ht="12" hidden="1">
      <c r="B16" s="63" t="s">
        <v>43</v>
      </c>
      <c r="C16" s="64"/>
      <c r="D16" s="64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136"/>
    </row>
    <row r="17" spans="2:22" ht="12" hidden="1">
      <c r="B17" s="63" t="s">
        <v>44</v>
      </c>
      <c r="C17" s="64"/>
      <c r="D17" s="6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136"/>
    </row>
    <row r="18" spans="2:22" ht="12">
      <c r="B18" s="55" t="s">
        <v>45</v>
      </c>
      <c r="C18" s="58"/>
      <c r="D18" s="58"/>
      <c r="E18" s="59">
        <v>2500000</v>
      </c>
      <c r="F18" s="59">
        <f>+E18*1.05</f>
        <v>2625000</v>
      </c>
      <c r="G18" s="59">
        <f>+F18*1.05</f>
        <v>2756250</v>
      </c>
      <c r="H18" s="59">
        <f aca="true" t="shared" si="5" ref="H18:V18">+G18*1.05</f>
        <v>2894062.5</v>
      </c>
      <c r="I18" s="59">
        <f t="shared" si="5"/>
        <v>3038765.625</v>
      </c>
      <c r="J18" s="59">
        <f t="shared" si="5"/>
        <v>3190703.90625</v>
      </c>
      <c r="K18" s="59">
        <f t="shared" si="5"/>
        <v>3350239.1015625</v>
      </c>
      <c r="L18" s="59">
        <f t="shared" si="5"/>
        <v>3517751.056640625</v>
      </c>
      <c r="M18" s="59">
        <f t="shared" si="5"/>
        <v>3693638.6094726566</v>
      </c>
      <c r="N18" s="59">
        <f t="shared" si="5"/>
        <v>3878320.5399462897</v>
      </c>
      <c r="O18" s="59">
        <f t="shared" si="5"/>
        <v>4072236.5669436045</v>
      </c>
      <c r="P18" s="59">
        <f t="shared" si="5"/>
        <v>4275848.395290785</v>
      </c>
      <c r="Q18" s="59">
        <f t="shared" si="5"/>
        <v>4489640.815055324</v>
      </c>
      <c r="R18" s="59">
        <f t="shared" si="5"/>
        <v>4714122.85580809</v>
      </c>
      <c r="S18" s="59">
        <f t="shared" si="5"/>
        <v>4949828.9985984955</v>
      </c>
      <c r="T18" s="59">
        <f t="shared" si="5"/>
        <v>5197320.44852842</v>
      </c>
      <c r="U18" s="59">
        <f t="shared" si="5"/>
        <v>5457186.470954841</v>
      </c>
      <c r="V18" s="136">
        <f t="shared" si="5"/>
        <v>5730045.794502583</v>
      </c>
    </row>
    <row r="19" spans="2:22" ht="12">
      <c r="B19" s="55" t="s">
        <v>46</v>
      </c>
      <c r="C19" s="58"/>
      <c r="D19" s="58"/>
      <c r="E19" s="59">
        <v>130914</v>
      </c>
      <c r="F19" s="59">
        <v>100704</v>
      </c>
      <c r="G19" s="59">
        <v>119012</v>
      </c>
      <c r="H19" s="59">
        <f>G19</f>
        <v>119012</v>
      </c>
      <c r="I19" s="59">
        <f>H19</f>
        <v>119012</v>
      </c>
      <c r="J19" s="59">
        <f>I19</f>
        <v>119012</v>
      </c>
      <c r="K19" s="59">
        <f>J19</f>
        <v>119012</v>
      </c>
      <c r="L19" s="59">
        <f aca="true" t="shared" si="6" ref="L19:V19">K19</f>
        <v>119012</v>
      </c>
      <c r="M19" s="59">
        <f t="shared" si="6"/>
        <v>119012</v>
      </c>
      <c r="N19" s="59">
        <f t="shared" si="6"/>
        <v>119012</v>
      </c>
      <c r="O19" s="59">
        <f t="shared" si="6"/>
        <v>119012</v>
      </c>
      <c r="P19" s="59">
        <f t="shared" si="6"/>
        <v>119012</v>
      </c>
      <c r="Q19" s="59">
        <f t="shared" si="6"/>
        <v>119012</v>
      </c>
      <c r="R19" s="59">
        <f t="shared" si="6"/>
        <v>119012</v>
      </c>
      <c r="S19" s="59">
        <f t="shared" si="6"/>
        <v>119012</v>
      </c>
      <c r="T19" s="59">
        <f t="shared" si="6"/>
        <v>119012</v>
      </c>
      <c r="U19" s="59">
        <f t="shared" si="6"/>
        <v>119012</v>
      </c>
      <c r="V19" s="136">
        <f t="shared" si="6"/>
        <v>119012</v>
      </c>
    </row>
    <row r="20" spans="2:22" ht="12.75" customHeight="1">
      <c r="B20" s="60" t="s">
        <v>47</v>
      </c>
      <c r="C20" s="61"/>
      <c r="D20" s="61"/>
      <c r="E20" s="62">
        <f aca="true" t="shared" si="7" ref="E20:K20">E14+E18+E19</f>
        <v>24003914</v>
      </c>
      <c r="F20" s="62">
        <f t="shared" si="7"/>
        <v>21411005.26666667</v>
      </c>
      <c r="G20" s="62">
        <f t="shared" si="7"/>
        <v>21401538.35</v>
      </c>
      <c r="H20" s="62">
        <f t="shared" si="7"/>
        <v>20229721.51666667</v>
      </c>
      <c r="I20" s="62">
        <f t="shared" si="7"/>
        <v>19256129.26666667</v>
      </c>
      <c r="J20" s="62">
        <f t="shared" si="7"/>
        <v>20040870.366666667</v>
      </c>
      <c r="K20" s="62">
        <f t="shared" si="7"/>
        <v>19988028.383333337</v>
      </c>
      <c r="L20" s="62">
        <f aca="true" t="shared" si="8" ref="L20:V20">L14+L18+L19</f>
        <v>19630970.21666667</v>
      </c>
      <c r="M20" s="62">
        <f t="shared" si="8"/>
        <v>21106104.21666667</v>
      </c>
      <c r="N20" s="62">
        <f t="shared" si="8"/>
        <v>21551338.883333333</v>
      </c>
      <c r="O20" s="62">
        <f t="shared" si="8"/>
        <v>22484415.733333338</v>
      </c>
      <c r="P20" s="62">
        <f t="shared" si="8"/>
        <v>25493076.583333336</v>
      </c>
      <c r="Q20" s="62">
        <f t="shared" si="8"/>
        <v>27337321.433333337</v>
      </c>
      <c r="R20" s="62">
        <f t="shared" si="8"/>
        <v>29127317.26666667</v>
      </c>
      <c r="S20" s="62">
        <f t="shared" si="8"/>
        <v>33435714.1</v>
      </c>
      <c r="T20" s="62">
        <f t="shared" si="8"/>
        <v>37364995.26666667</v>
      </c>
      <c r="U20" s="62">
        <f t="shared" si="8"/>
        <v>42602477.116666675</v>
      </c>
      <c r="V20" s="127">
        <f t="shared" si="8"/>
        <v>49836326.63333334</v>
      </c>
    </row>
    <row r="21" spans="2:22" ht="13.5">
      <c r="B21" s="65"/>
      <c r="C21" s="54"/>
      <c r="D21" s="54"/>
      <c r="E21" s="66"/>
      <c r="F21" s="66"/>
      <c r="G21" s="66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136"/>
    </row>
    <row r="22" spans="2:22" ht="13.5">
      <c r="B22" s="52" t="s">
        <v>48</v>
      </c>
      <c r="C22" s="67"/>
      <c r="D22" s="67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137"/>
    </row>
    <row r="23" spans="2:22" ht="12">
      <c r="B23" s="55" t="s">
        <v>49</v>
      </c>
      <c r="C23" s="70"/>
      <c r="D23" s="70"/>
      <c r="E23" s="59">
        <v>600000</v>
      </c>
      <c r="F23" s="59">
        <f>+F50</f>
        <v>995066.5</v>
      </c>
      <c r="G23" s="59">
        <f>+G50</f>
        <v>1347399.75</v>
      </c>
      <c r="H23" s="59">
        <f>+H50</f>
        <v>1784899.75</v>
      </c>
      <c r="I23" s="59">
        <f>I50</f>
        <v>2416633.25</v>
      </c>
      <c r="J23" s="59">
        <f>J50</f>
        <v>2995000</v>
      </c>
      <c r="K23" s="59">
        <f>K50</f>
        <v>3785000</v>
      </c>
      <c r="L23" s="59">
        <f aca="true" t="shared" si="9" ref="L23:V23">L50</f>
        <v>4318000</v>
      </c>
      <c r="M23" s="59">
        <f t="shared" si="9"/>
        <v>4799500</v>
      </c>
      <c r="N23" s="59">
        <f t="shared" si="9"/>
        <v>5354500</v>
      </c>
      <c r="O23" s="59">
        <f t="shared" si="9"/>
        <v>6096500</v>
      </c>
      <c r="P23" s="59">
        <f t="shared" si="9"/>
        <v>6805000</v>
      </c>
      <c r="Q23" s="59">
        <f t="shared" si="9"/>
        <v>7200000</v>
      </c>
      <c r="R23" s="59">
        <f t="shared" si="9"/>
        <v>7543000</v>
      </c>
      <c r="S23" s="59">
        <f t="shared" si="9"/>
        <v>8349500</v>
      </c>
      <c r="T23" s="59">
        <f t="shared" si="9"/>
        <v>9429500</v>
      </c>
      <c r="U23" s="59">
        <f t="shared" si="9"/>
        <v>10786500</v>
      </c>
      <c r="V23" s="136">
        <f t="shared" si="9"/>
        <v>11580000</v>
      </c>
    </row>
    <row r="24" spans="2:22" ht="12">
      <c r="B24" s="55" t="s">
        <v>50</v>
      </c>
      <c r="C24" s="58"/>
      <c r="D24" s="58"/>
      <c r="E24" s="59">
        <v>700000</v>
      </c>
      <c r="F24" s="59">
        <f>+F53</f>
        <v>200066.6</v>
      </c>
      <c r="G24" s="59">
        <f>+G53</f>
        <v>200066.6</v>
      </c>
      <c r="H24" s="59">
        <f>+H53</f>
        <v>200066.6</v>
      </c>
      <c r="I24" s="59">
        <f>I53</f>
        <v>240000</v>
      </c>
      <c r="J24" s="59">
        <f>J53</f>
        <v>240000</v>
      </c>
      <c r="K24" s="59">
        <f>K53</f>
        <v>240000</v>
      </c>
      <c r="L24" s="59">
        <f aca="true" t="shared" si="10" ref="L24:V24">L53</f>
        <v>280000</v>
      </c>
      <c r="M24" s="59">
        <f t="shared" si="10"/>
        <v>280000</v>
      </c>
      <c r="N24" s="59">
        <f t="shared" si="10"/>
        <v>280000</v>
      </c>
      <c r="O24" s="59">
        <f t="shared" si="10"/>
        <v>320000</v>
      </c>
      <c r="P24" s="59">
        <f t="shared" si="10"/>
        <v>320000</v>
      </c>
      <c r="Q24" s="59">
        <f t="shared" si="10"/>
        <v>320000</v>
      </c>
      <c r="R24" s="59">
        <f t="shared" si="10"/>
        <v>360000</v>
      </c>
      <c r="S24" s="59">
        <f t="shared" si="10"/>
        <v>360000</v>
      </c>
      <c r="T24" s="59">
        <f t="shared" si="10"/>
        <v>360000</v>
      </c>
      <c r="U24" s="59">
        <f t="shared" si="10"/>
        <v>400000</v>
      </c>
      <c r="V24" s="136">
        <f t="shared" si="10"/>
        <v>400000</v>
      </c>
    </row>
    <row r="25" spans="2:22" ht="12">
      <c r="B25" s="55" t="s">
        <v>51</v>
      </c>
      <c r="C25" s="58"/>
      <c r="D25" s="58"/>
      <c r="E25" s="59">
        <v>500000</v>
      </c>
      <c r="F25" s="59">
        <f>+F56</f>
        <v>0</v>
      </c>
      <c r="G25" s="59">
        <f aca="true" t="shared" si="11" ref="G25:V25">+G56</f>
        <v>0</v>
      </c>
      <c r="H25" s="59">
        <f t="shared" si="11"/>
        <v>0</v>
      </c>
      <c r="I25" s="59">
        <f t="shared" si="11"/>
        <v>0</v>
      </c>
      <c r="J25" s="59">
        <f t="shared" si="11"/>
        <v>0</v>
      </c>
      <c r="K25" s="59">
        <f t="shared" si="11"/>
        <v>0</v>
      </c>
      <c r="L25" s="59">
        <f t="shared" si="11"/>
        <v>0</v>
      </c>
      <c r="M25" s="59">
        <f t="shared" si="11"/>
        <v>0</v>
      </c>
      <c r="N25" s="59">
        <f t="shared" si="11"/>
        <v>0</v>
      </c>
      <c r="O25" s="59">
        <f t="shared" si="11"/>
        <v>0</v>
      </c>
      <c r="P25" s="59">
        <f t="shared" si="11"/>
        <v>0</v>
      </c>
      <c r="Q25" s="59">
        <f t="shared" si="11"/>
        <v>0</v>
      </c>
      <c r="R25" s="59">
        <f t="shared" si="11"/>
        <v>0</v>
      </c>
      <c r="S25" s="59">
        <f t="shared" si="11"/>
        <v>0</v>
      </c>
      <c r="T25" s="59">
        <f t="shared" si="11"/>
        <v>0</v>
      </c>
      <c r="U25" s="59">
        <f t="shared" si="11"/>
        <v>0</v>
      </c>
      <c r="V25" s="136">
        <f t="shared" si="11"/>
        <v>0</v>
      </c>
    </row>
    <row r="26" spans="2:22" ht="12.75" customHeight="1">
      <c r="B26" s="60" t="s">
        <v>52</v>
      </c>
      <c r="C26" s="61"/>
      <c r="D26" s="61"/>
      <c r="E26" s="62">
        <f aca="true" t="shared" si="12" ref="E26:K26">E23+E24+E25</f>
        <v>1800000</v>
      </c>
      <c r="F26" s="62">
        <f t="shared" si="12"/>
        <v>1195133.1</v>
      </c>
      <c r="G26" s="62">
        <f t="shared" si="12"/>
        <v>1547466.35</v>
      </c>
      <c r="H26" s="62">
        <f t="shared" si="12"/>
        <v>1984966.35</v>
      </c>
      <c r="I26" s="62">
        <f t="shared" si="12"/>
        <v>2656633.25</v>
      </c>
      <c r="J26" s="62">
        <f t="shared" si="12"/>
        <v>3235000</v>
      </c>
      <c r="K26" s="62">
        <f t="shared" si="12"/>
        <v>4025000</v>
      </c>
      <c r="L26" s="62">
        <f aca="true" t="shared" si="13" ref="L26:V26">L23+L24+L25</f>
        <v>4598000</v>
      </c>
      <c r="M26" s="62">
        <f t="shared" si="13"/>
        <v>5079500</v>
      </c>
      <c r="N26" s="62">
        <f t="shared" si="13"/>
        <v>5634500</v>
      </c>
      <c r="O26" s="62">
        <f t="shared" si="13"/>
        <v>6416500</v>
      </c>
      <c r="P26" s="62">
        <f t="shared" si="13"/>
        <v>7125000</v>
      </c>
      <c r="Q26" s="62">
        <f t="shared" si="13"/>
        <v>7520000</v>
      </c>
      <c r="R26" s="62">
        <f t="shared" si="13"/>
        <v>7903000</v>
      </c>
      <c r="S26" s="62">
        <f t="shared" si="13"/>
        <v>8709500</v>
      </c>
      <c r="T26" s="62">
        <f t="shared" si="13"/>
        <v>9789500</v>
      </c>
      <c r="U26" s="62">
        <f t="shared" si="13"/>
        <v>11186500</v>
      </c>
      <c r="V26" s="127">
        <f t="shared" si="13"/>
        <v>11980000</v>
      </c>
    </row>
    <row r="27" spans="2:22" ht="12">
      <c r="B27" s="71"/>
      <c r="C27" s="14"/>
      <c r="D27" s="1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36"/>
    </row>
    <row r="28" spans="2:22" ht="12">
      <c r="B28" s="55"/>
      <c r="C28" s="58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136"/>
    </row>
    <row r="29" spans="2:22" ht="12">
      <c r="B29" s="55" t="s">
        <v>53</v>
      </c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2:22" ht="12.75" customHeight="1">
      <c r="B30" s="72" t="s">
        <v>54</v>
      </c>
      <c r="C30" s="73"/>
      <c r="D30" s="73"/>
      <c r="E30" s="74">
        <f aca="true" t="shared" si="14" ref="E30:K30">E29+E26</f>
        <v>1800000</v>
      </c>
      <c r="F30" s="74">
        <f t="shared" si="14"/>
        <v>1195133.1</v>
      </c>
      <c r="G30" s="74">
        <f t="shared" si="14"/>
        <v>1547466.35</v>
      </c>
      <c r="H30" s="74">
        <f t="shared" si="14"/>
        <v>1984966.35</v>
      </c>
      <c r="I30" s="74">
        <f t="shared" si="14"/>
        <v>2656633.25</v>
      </c>
      <c r="J30" s="74">
        <f t="shared" si="14"/>
        <v>3235000</v>
      </c>
      <c r="K30" s="74">
        <f t="shared" si="14"/>
        <v>4025000</v>
      </c>
      <c r="L30" s="74">
        <f aca="true" t="shared" si="15" ref="L30:V30">L29+L26</f>
        <v>4598000</v>
      </c>
      <c r="M30" s="74">
        <f t="shared" si="15"/>
        <v>5079500</v>
      </c>
      <c r="N30" s="74">
        <f t="shared" si="15"/>
        <v>5634500</v>
      </c>
      <c r="O30" s="74">
        <f t="shared" si="15"/>
        <v>6416500</v>
      </c>
      <c r="P30" s="74">
        <f t="shared" si="15"/>
        <v>7125000</v>
      </c>
      <c r="Q30" s="74">
        <f t="shared" si="15"/>
        <v>7520000</v>
      </c>
      <c r="R30" s="74">
        <f t="shared" si="15"/>
        <v>7903000</v>
      </c>
      <c r="S30" s="74">
        <f t="shared" si="15"/>
        <v>8709500</v>
      </c>
      <c r="T30" s="74">
        <f t="shared" si="15"/>
        <v>9789500</v>
      </c>
      <c r="U30" s="74">
        <f t="shared" si="15"/>
        <v>11186500</v>
      </c>
      <c r="V30" s="138">
        <f t="shared" si="15"/>
        <v>11980000</v>
      </c>
    </row>
    <row r="31" spans="2:22" ht="13.5">
      <c r="B31" s="65"/>
      <c r="C31" s="54"/>
      <c r="D31" s="54"/>
      <c r="E31" s="66"/>
      <c r="F31" s="66"/>
      <c r="G31" s="66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136"/>
    </row>
    <row r="32" spans="2:22" ht="13.5">
      <c r="B32" s="52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39"/>
    </row>
    <row r="33" spans="2:22" ht="12">
      <c r="B33" s="55" t="s">
        <v>56</v>
      </c>
      <c r="C33" s="58"/>
      <c r="D33" s="58"/>
      <c r="E33" s="59">
        <v>49246892</v>
      </c>
      <c r="F33" s="59">
        <f aca="true" t="shared" si="16" ref="F33:V33">3185+49243707</f>
        <v>49246892</v>
      </c>
      <c r="G33" s="59">
        <f t="shared" si="16"/>
        <v>49246892</v>
      </c>
      <c r="H33" s="59">
        <f t="shared" si="16"/>
        <v>49246892</v>
      </c>
      <c r="I33" s="59">
        <f t="shared" si="16"/>
        <v>49246892</v>
      </c>
      <c r="J33" s="59">
        <f t="shared" si="16"/>
        <v>49246892</v>
      </c>
      <c r="K33" s="59">
        <f t="shared" si="16"/>
        <v>49246892</v>
      </c>
      <c r="L33" s="59">
        <f t="shared" si="16"/>
        <v>49246892</v>
      </c>
      <c r="M33" s="59">
        <f t="shared" si="16"/>
        <v>49246892</v>
      </c>
      <c r="N33" s="59">
        <f t="shared" si="16"/>
        <v>49246892</v>
      </c>
      <c r="O33" s="59">
        <f t="shared" si="16"/>
        <v>49246892</v>
      </c>
      <c r="P33" s="59">
        <f t="shared" si="16"/>
        <v>49246892</v>
      </c>
      <c r="Q33" s="59">
        <f t="shared" si="16"/>
        <v>49246892</v>
      </c>
      <c r="R33" s="59">
        <f t="shared" si="16"/>
        <v>49246892</v>
      </c>
      <c r="S33" s="59">
        <f t="shared" si="16"/>
        <v>49246892</v>
      </c>
      <c r="T33" s="59">
        <f t="shared" si="16"/>
        <v>49246892</v>
      </c>
      <c r="U33" s="59">
        <f t="shared" si="16"/>
        <v>49246892</v>
      </c>
      <c r="V33" s="136">
        <f t="shared" si="16"/>
        <v>49246892</v>
      </c>
    </row>
    <row r="34" spans="2:22" ht="12">
      <c r="B34" s="55" t="s">
        <v>57</v>
      </c>
      <c r="C34" s="58"/>
      <c r="D34" s="58"/>
      <c r="E34" s="59">
        <v>1785</v>
      </c>
      <c r="F34" s="59">
        <v>1785</v>
      </c>
      <c r="G34" s="59">
        <v>1785</v>
      </c>
      <c r="H34" s="59">
        <v>1785</v>
      </c>
      <c r="I34" s="59">
        <v>1785</v>
      </c>
      <c r="J34" s="59">
        <v>1785</v>
      </c>
      <c r="K34" s="59">
        <v>1785</v>
      </c>
      <c r="L34" s="59">
        <v>1785</v>
      </c>
      <c r="M34" s="59">
        <v>1785</v>
      </c>
      <c r="N34" s="59">
        <v>1785</v>
      </c>
      <c r="O34" s="59">
        <v>1785</v>
      </c>
      <c r="P34" s="59">
        <v>1785</v>
      </c>
      <c r="Q34" s="59">
        <v>1785</v>
      </c>
      <c r="R34" s="59">
        <v>1785</v>
      </c>
      <c r="S34" s="59">
        <v>1785</v>
      </c>
      <c r="T34" s="59">
        <v>1785</v>
      </c>
      <c r="U34" s="59">
        <v>1785</v>
      </c>
      <c r="V34" s="136">
        <v>1785</v>
      </c>
    </row>
    <row r="35" spans="2:22" ht="12">
      <c r="B35" s="55" t="s">
        <v>58</v>
      </c>
      <c r="C35" s="58"/>
      <c r="D35" s="58"/>
      <c r="E35" s="59">
        <f>195384-E34</f>
        <v>193599</v>
      </c>
      <c r="F35" s="59">
        <f>+E35</f>
        <v>193599</v>
      </c>
      <c r="G35" s="59">
        <f aca="true" t="shared" si="17" ref="G35:V35">+F35</f>
        <v>193599</v>
      </c>
      <c r="H35" s="59">
        <f t="shared" si="17"/>
        <v>193599</v>
      </c>
      <c r="I35" s="59">
        <f t="shared" si="17"/>
        <v>193599</v>
      </c>
      <c r="J35" s="59">
        <f t="shared" si="17"/>
        <v>193599</v>
      </c>
      <c r="K35" s="59">
        <f t="shared" si="17"/>
        <v>193599</v>
      </c>
      <c r="L35" s="59">
        <f t="shared" si="17"/>
        <v>193599</v>
      </c>
      <c r="M35" s="59">
        <f t="shared" si="17"/>
        <v>193599</v>
      </c>
      <c r="N35" s="59">
        <f t="shared" si="17"/>
        <v>193599</v>
      </c>
      <c r="O35" s="59">
        <f t="shared" si="17"/>
        <v>193599</v>
      </c>
      <c r="P35" s="59">
        <f t="shared" si="17"/>
        <v>193599</v>
      </c>
      <c r="Q35" s="59">
        <f t="shared" si="17"/>
        <v>193599</v>
      </c>
      <c r="R35" s="59">
        <f t="shared" si="17"/>
        <v>193599</v>
      </c>
      <c r="S35" s="59">
        <f t="shared" si="17"/>
        <v>193599</v>
      </c>
      <c r="T35" s="59">
        <f t="shared" si="17"/>
        <v>193599</v>
      </c>
      <c r="U35" s="59">
        <f t="shared" si="17"/>
        <v>193599</v>
      </c>
      <c r="V35" s="136">
        <f t="shared" si="17"/>
        <v>193599</v>
      </c>
    </row>
    <row r="36" spans="2:22" ht="12">
      <c r="B36" s="55" t="s">
        <v>59</v>
      </c>
      <c r="C36" s="58"/>
      <c r="D36" s="58"/>
      <c r="E36" s="59">
        <v>-27238862</v>
      </c>
      <c r="F36" s="59">
        <f>+E36+'IS'!D22</f>
        <v>-29226903.833333332</v>
      </c>
      <c r="G36" s="59">
        <f>+F36+'IS'!E22</f>
        <v>-29588704</v>
      </c>
      <c r="H36" s="59">
        <f>+G36+'IS'!F22</f>
        <v>-31198020.833333332</v>
      </c>
      <c r="I36" s="59">
        <f>+H36+'IS'!G22</f>
        <v>-32843279.98333333</v>
      </c>
      <c r="J36" s="59">
        <f>+I36+'IS'!H22</f>
        <v>-32636905.63333333</v>
      </c>
      <c r="K36" s="59">
        <f>+J36+'IS'!I22</f>
        <v>-33479747.616666663</v>
      </c>
      <c r="L36" s="59">
        <f>+K36+'IS'!J22</f>
        <v>-34409805.78333333</v>
      </c>
      <c r="M36" s="59">
        <f>+L36+'IS'!K22</f>
        <v>-33416171.78333333</v>
      </c>
      <c r="N36" s="59">
        <f>+M36+'IS'!L22</f>
        <v>-33525937.116666663</v>
      </c>
      <c r="O36" s="59">
        <f>+N36+'IS'!M22</f>
        <v>-33374860.266666662</v>
      </c>
      <c r="P36" s="59">
        <f>+O36+'IS'!N22</f>
        <v>-31074699.416666664</v>
      </c>
      <c r="Q36" s="59">
        <f>+P36+'IS'!O22</f>
        <v>-29625454.566666663</v>
      </c>
      <c r="R36" s="59">
        <f>+Q36+'IS'!P22</f>
        <v>-28218458.733333327</v>
      </c>
      <c r="S36" s="59">
        <f>+R36+'IS'!Q22</f>
        <v>-24716561.89999999</v>
      </c>
      <c r="T36" s="59">
        <f>+S36+'IS'!R22</f>
        <v>-21867280.733333323</v>
      </c>
      <c r="U36" s="59">
        <f>+T36+'IS'!S22</f>
        <v>-18026798.883333325</v>
      </c>
      <c r="V36" s="136">
        <f>+U36+'IS'!T22</f>
        <v>-11586449.366666658</v>
      </c>
    </row>
    <row r="37" spans="2:22" ht="12">
      <c r="B37" s="55" t="s">
        <v>60</v>
      </c>
      <c r="C37" s="58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136"/>
    </row>
    <row r="38" spans="2:22" ht="12">
      <c r="B38" s="55" t="s">
        <v>61</v>
      </c>
      <c r="C38" s="58"/>
      <c r="D38" s="58"/>
      <c r="E38" s="59">
        <f>SUM(E33:E37)</f>
        <v>22203414</v>
      </c>
      <c r="F38" s="59">
        <f>SUM(F33:F37)</f>
        <v>20215372.166666668</v>
      </c>
      <c r="G38" s="59">
        <f>SUM(G33:G37)</f>
        <v>19853572</v>
      </c>
      <c r="H38" s="59">
        <f>SUM(H33:H37)</f>
        <v>18244255.166666668</v>
      </c>
      <c r="I38" s="59">
        <f>SUM(I33:I36)</f>
        <v>16598996.01666667</v>
      </c>
      <c r="J38" s="59">
        <f>SUM(J33:J36)</f>
        <v>16805370.36666667</v>
      </c>
      <c r="K38" s="59">
        <f>SUM(K33:K36)</f>
        <v>15962528.383333337</v>
      </c>
      <c r="L38" s="59">
        <f aca="true" t="shared" si="18" ref="L38:V38">SUM(L33:L36)</f>
        <v>15032470.216666669</v>
      </c>
      <c r="M38" s="59">
        <f t="shared" si="18"/>
        <v>16026104.216666669</v>
      </c>
      <c r="N38" s="59">
        <f t="shared" si="18"/>
        <v>15916338.883333337</v>
      </c>
      <c r="O38" s="59">
        <f t="shared" si="18"/>
        <v>16067415.733333338</v>
      </c>
      <c r="P38" s="59">
        <f t="shared" si="18"/>
        <v>18367576.583333336</v>
      </c>
      <c r="Q38" s="59">
        <f t="shared" si="18"/>
        <v>19816821.433333337</v>
      </c>
      <c r="R38" s="59">
        <f t="shared" si="18"/>
        <v>21223817.266666673</v>
      </c>
      <c r="S38" s="59">
        <f t="shared" si="18"/>
        <v>24725714.10000001</v>
      </c>
      <c r="T38" s="59">
        <f t="shared" si="18"/>
        <v>27574995.266666677</v>
      </c>
      <c r="U38" s="59">
        <f t="shared" si="18"/>
        <v>31415477.116666675</v>
      </c>
      <c r="V38" s="136">
        <f t="shared" si="18"/>
        <v>37855826.63333334</v>
      </c>
    </row>
    <row r="39" spans="2:22" ht="12.75">
      <c r="B39" s="75" t="s">
        <v>62</v>
      </c>
      <c r="C39" s="76"/>
      <c r="D39" s="76"/>
      <c r="E39" s="77">
        <f aca="true" t="shared" si="19" ref="E39:K39">E38+E30</f>
        <v>24003414</v>
      </c>
      <c r="F39" s="77">
        <f t="shared" si="19"/>
        <v>21410505.26666667</v>
      </c>
      <c r="G39" s="77">
        <f t="shared" si="19"/>
        <v>21401038.35</v>
      </c>
      <c r="H39" s="77">
        <f t="shared" si="19"/>
        <v>20229221.51666667</v>
      </c>
      <c r="I39" s="77">
        <f t="shared" si="19"/>
        <v>19255629.26666667</v>
      </c>
      <c r="J39" s="77">
        <f t="shared" si="19"/>
        <v>20040370.36666667</v>
      </c>
      <c r="K39" s="77">
        <f t="shared" si="19"/>
        <v>19987528.383333337</v>
      </c>
      <c r="L39" s="77">
        <f aca="true" t="shared" si="20" ref="L39:V39">L38+L30</f>
        <v>19630470.21666667</v>
      </c>
      <c r="M39" s="77">
        <f t="shared" si="20"/>
        <v>21105604.21666667</v>
      </c>
      <c r="N39" s="77">
        <f t="shared" si="20"/>
        <v>21550838.883333337</v>
      </c>
      <c r="O39" s="77">
        <f t="shared" si="20"/>
        <v>22483915.733333338</v>
      </c>
      <c r="P39" s="77">
        <f t="shared" si="20"/>
        <v>25492576.583333336</v>
      </c>
      <c r="Q39" s="77">
        <f t="shared" si="20"/>
        <v>27336821.433333337</v>
      </c>
      <c r="R39" s="77">
        <f t="shared" si="20"/>
        <v>29126817.266666673</v>
      </c>
      <c r="S39" s="77">
        <f t="shared" si="20"/>
        <v>33435214.10000001</v>
      </c>
      <c r="T39" s="77">
        <f t="shared" si="20"/>
        <v>37364495.26666668</v>
      </c>
      <c r="U39" s="77">
        <f t="shared" si="20"/>
        <v>42601977.116666675</v>
      </c>
      <c r="V39" s="129">
        <f t="shared" si="20"/>
        <v>49835826.63333334</v>
      </c>
    </row>
    <row r="40" spans="2:22" ht="12.75" thickBot="1">
      <c r="B40" s="78" t="s">
        <v>63</v>
      </c>
      <c r="C40" s="79"/>
      <c r="D40" s="79"/>
      <c r="E40" s="80">
        <f aca="true" t="shared" si="21" ref="E40:K40">E20-E39</f>
        <v>500</v>
      </c>
      <c r="F40" s="80">
        <f t="shared" si="21"/>
        <v>500</v>
      </c>
      <c r="G40" s="80">
        <f t="shared" si="21"/>
        <v>500</v>
      </c>
      <c r="H40" s="80">
        <f t="shared" si="21"/>
        <v>500</v>
      </c>
      <c r="I40" s="80">
        <f t="shared" si="21"/>
        <v>500</v>
      </c>
      <c r="J40" s="80">
        <f t="shared" si="21"/>
        <v>499.9999999962747</v>
      </c>
      <c r="K40" s="80">
        <f t="shared" si="21"/>
        <v>500</v>
      </c>
      <c r="L40" s="80">
        <f aca="true" t="shared" si="22" ref="L40:V40">L20-L39</f>
        <v>500</v>
      </c>
      <c r="M40" s="80">
        <f t="shared" si="22"/>
        <v>500</v>
      </c>
      <c r="N40" s="80">
        <f t="shared" si="22"/>
        <v>499.9999999962747</v>
      </c>
      <c r="O40" s="80">
        <f t="shared" si="22"/>
        <v>500</v>
      </c>
      <c r="P40" s="80">
        <f t="shared" si="22"/>
        <v>500</v>
      </c>
      <c r="Q40" s="80">
        <f t="shared" si="22"/>
        <v>500</v>
      </c>
      <c r="R40" s="80">
        <f t="shared" si="22"/>
        <v>499.9999999962747</v>
      </c>
      <c r="S40" s="80">
        <f t="shared" si="22"/>
        <v>499.9999999925494</v>
      </c>
      <c r="T40" s="80">
        <f t="shared" si="22"/>
        <v>499.9999999925494</v>
      </c>
      <c r="U40" s="80">
        <f t="shared" si="22"/>
        <v>500</v>
      </c>
      <c r="V40" s="140">
        <f t="shared" si="22"/>
        <v>500</v>
      </c>
    </row>
    <row r="41" ht="12">
      <c r="G41" s="12"/>
    </row>
    <row r="42" spans="2:7" ht="13.5" thickBot="1">
      <c r="B42" s="26" t="s">
        <v>64</v>
      </c>
      <c r="G42" s="12"/>
    </row>
    <row r="43" spans="2:22" ht="12">
      <c r="B43" s="81"/>
      <c r="C43" s="82"/>
      <c r="D43" s="82" t="s">
        <v>108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2:22" ht="12">
      <c r="B44" s="83" t="s">
        <v>65</v>
      </c>
      <c r="C44" s="15"/>
      <c r="D44" s="15">
        <v>30</v>
      </c>
      <c r="E44" s="15"/>
      <c r="F44" s="87">
        <f>IF($D$44=30,Assump!F30,IF($D$44=60,Assump!E30+Assump!F30,IF($D$44=-30,0,0)))</f>
        <v>16666.666666666668</v>
      </c>
      <c r="G44" s="87">
        <f>IF($D$44=30,Assump!G30,IF($D$44=60,Assump!F30+Assump!G30,IF($D$44=-30,0,0)))</f>
        <v>1683333.3333333333</v>
      </c>
      <c r="H44" s="87">
        <f>IF($D$44=30,Assump!H30,IF($D$44=60,Assump!G30+Assump!H30,IF($D$44=-30,0,0)))</f>
        <v>516666.6666666667</v>
      </c>
      <c r="I44" s="87">
        <f>IF($D$44=30,Assump!I30,IF($D$44=60,Assump!H30+Assump!I30,IF($D$44=-30,0,0)))</f>
        <v>1000000</v>
      </c>
      <c r="J44" s="87">
        <f>IF($D$44=30,Assump!J30,IF($D$44=60,Assump!I30+Assump!J30,IF($D$44=-30,0,0)))</f>
        <v>3000000</v>
      </c>
      <c r="K44" s="87">
        <f>IF($D$44=30,Assump!K30,IF($D$44=60,Assump!J30+Assump!K30,IF($D$44=-30,0,0)))</f>
        <v>2166666.666666667</v>
      </c>
      <c r="L44" s="87">
        <f>IF($D$44=30,Assump!L30,IF($D$44=60,Assump!K30+Assump!L30,IF($D$44=-30,0,0)))</f>
        <v>2683333.3333333335</v>
      </c>
      <c r="M44" s="87">
        <f>IF($D$44=30,Assump!M30,IF($D$44=60,Assump!L30+Assump!M30,IF($D$44=-30,0,0)))</f>
        <v>4850000</v>
      </c>
      <c r="N44" s="87">
        <f>IF($D$44=30,Assump!N30,IF($D$44=60,Assump!M30+Assump!N30,IF($D$44=-30,0,0)))</f>
        <v>4016666.666666667</v>
      </c>
      <c r="O44" s="87">
        <f>IF($D$44=30,Assump!O30,IF($D$44=60,Assump!N30+Assump!O30,IF($D$44=-30,0,0)))</f>
        <v>5000000</v>
      </c>
      <c r="P44" s="87">
        <f>IF($D$44=30,Assump!P30,IF($D$44=60,Assump!O30+Assump!P30,IF($D$44=-30,0,0)))</f>
        <v>7500000</v>
      </c>
      <c r="Q44" s="87">
        <f>IF($D$44=30,Assump!Q30,IF($D$44=60,Assump!P30+Assump!Q30,IF($D$44=-30,0,0)))</f>
        <v>7000000</v>
      </c>
      <c r="R44" s="87">
        <f>IF($D$44=30,Assump!R30,IF($D$44=60,Assump!Q30+Assump!R30,IF($D$44=-30,0,0)))</f>
        <v>7683333.333333334</v>
      </c>
      <c r="S44" s="87">
        <f>IF($D$44=30,Assump!S30,IF($D$44=60,Assump!R30+Assump!S30,IF($D$44=-30,0,0)))</f>
        <v>10183333.333333334</v>
      </c>
      <c r="T44" s="87">
        <f>IF($D$44=30,Assump!T30,IF($D$44=60,Assump!S30+Assump!T30,IF($D$44=-30,0,0)))</f>
        <v>10016666.666666668</v>
      </c>
      <c r="U44" s="87">
        <f>IF($D$44=30,Assump!U30,IF($D$44=60,Assump!T30+Assump!U30,IF($D$44=-30,0,0)))</f>
        <v>12000000</v>
      </c>
      <c r="V44" s="87">
        <f>IF($D$44=30,Assump!V30,IF($D$44=60,Assump!U30+Assump!V30,IF($D$44=-30,0,0)))</f>
        <v>15166666.666666668</v>
      </c>
    </row>
    <row r="45" spans="2:22" ht="12">
      <c r="B45" s="83" t="s">
        <v>66</v>
      </c>
      <c r="C45" s="15"/>
      <c r="D45" s="84"/>
      <c r="E45" s="15"/>
      <c r="F45" s="85">
        <f>+F44/Assump!F30</f>
        <v>1</v>
      </c>
      <c r="G45" s="85">
        <f>+G44/Assump!G30</f>
        <v>1</v>
      </c>
      <c r="H45" s="85">
        <f>+H44/Assump!H30</f>
        <v>1</v>
      </c>
      <c r="I45" s="85">
        <f>+I44/Assump!I30</f>
        <v>1</v>
      </c>
      <c r="J45" s="85">
        <f>+J44/Assump!J30</f>
        <v>1</v>
      </c>
      <c r="K45" s="85">
        <f>+K44/Assump!K30</f>
        <v>1</v>
      </c>
      <c r="L45" s="85">
        <f>+L44/Assump!L30</f>
        <v>1</v>
      </c>
      <c r="M45" s="85">
        <f>+M44/Assump!M30</f>
        <v>1</v>
      </c>
      <c r="N45" s="85">
        <f>+N44/Assump!N30</f>
        <v>1</v>
      </c>
      <c r="O45" s="85">
        <f>+O44/Assump!O30</f>
        <v>1</v>
      </c>
      <c r="P45" s="85">
        <f>+P44/Assump!P30</f>
        <v>1</v>
      </c>
      <c r="Q45" s="85">
        <f>+Q44/Assump!Q30</f>
        <v>1</v>
      </c>
      <c r="R45" s="85">
        <f>+R44/Assump!R30</f>
        <v>1</v>
      </c>
      <c r="S45" s="85">
        <f>+S44/Assump!S30</f>
        <v>1</v>
      </c>
      <c r="T45" s="85">
        <f>+T44/Assump!T30</f>
        <v>1</v>
      </c>
      <c r="U45" s="85">
        <f>+U44/Assump!U30</f>
        <v>1</v>
      </c>
      <c r="V45" s="85">
        <f>+V44/Assump!V30</f>
        <v>1</v>
      </c>
    </row>
    <row r="46" spans="2:22" ht="12">
      <c r="B46" s="83"/>
      <c r="C46" s="15"/>
      <c r="D46" s="15"/>
      <c r="E46" s="15"/>
      <c r="F46" s="1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2:22" ht="12">
      <c r="B47" s="83" t="s">
        <v>67</v>
      </c>
      <c r="C47" s="15"/>
      <c r="D47" s="86"/>
      <c r="E47" s="87">
        <f>+Assump!F42</f>
        <v>3000</v>
      </c>
      <c r="F47" s="87">
        <f>+Assump!G42</f>
        <v>33000</v>
      </c>
      <c r="G47" s="87">
        <f>+Assump!H42</f>
        <v>93000</v>
      </c>
      <c r="H47" s="87">
        <f>+Assump!I42</f>
        <v>180000</v>
      </c>
      <c r="I47" s="87">
        <f>+Assump!J42</f>
        <v>270000</v>
      </c>
      <c r="J47" s="87">
        <f>+Assump!K42</f>
        <v>390000</v>
      </c>
      <c r="K47" s="87">
        <f>+Assump!L42</f>
        <v>483000</v>
      </c>
      <c r="L47" s="87">
        <f>+Assump!M42</f>
        <v>603000</v>
      </c>
      <c r="M47" s="87">
        <f>+Assump!N42</f>
        <v>723000</v>
      </c>
      <c r="N47" s="87">
        <f>+Assump!O42</f>
        <v>900000</v>
      </c>
      <c r="O47" s="87">
        <f>+Assump!P42</f>
        <v>1080000</v>
      </c>
      <c r="P47" s="87">
        <f>+Assump!Q42</f>
        <v>1260000</v>
      </c>
      <c r="Q47" s="87">
        <f>+Assump!R42</f>
        <v>1383000</v>
      </c>
      <c r="R47" s="87">
        <f>+Assump!S42</f>
        <v>1563000</v>
      </c>
      <c r="S47" s="87">
        <f>+Assump!T42</f>
        <v>1803000</v>
      </c>
      <c r="T47" s="87">
        <f>+Assump!U42</f>
        <v>2160000</v>
      </c>
      <c r="U47" s="87">
        <f>+Assump!V42</f>
        <v>2460000</v>
      </c>
      <c r="V47" s="119">
        <f>+U47</f>
        <v>2460000</v>
      </c>
    </row>
    <row r="48" spans="2:22" ht="12">
      <c r="B48" s="83" t="s">
        <v>107</v>
      </c>
      <c r="C48" s="15"/>
      <c r="D48" s="15"/>
      <c r="E48" s="15"/>
      <c r="F48" s="24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2:22" ht="12">
      <c r="B49" s="83"/>
      <c r="C49" s="15"/>
      <c r="D49" s="15"/>
      <c r="E49" s="15"/>
      <c r="F49" s="2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ht="12">
      <c r="B50" s="83" t="s">
        <v>68</v>
      </c>
      <c r="C50" s="15"/>
      <c r="D50" s="15" t="s">
        <v>108</v>
      </c>
      <c r="E50" s="15"/>
      <c r="F50" s="87">
        <f>(+Assump!F42+Assump!F53*0.25+Assump!F54*0.6+Assump!F64)</f>
        <v>995066.5</v>
      </c>
      <c r="G50" s="87">
        <f>(+Assump!G42+Assump!G53*0.25+Assump!G54*0.4+Assump!G64)+(Assump!F53*0.25+Assump!F54*0.4+Assump!F42+Assump!F64)/2</f>
        <v>1347399.75</v>
      </c>
      <c r="H50" s="87">
        <f>(+Assump!H42+Assump!H53*0.25+Assump!H54*0.4+Assump!H64)+(Assump!G53*0.25+Assump!G54*0.4+Assump!G42+Assump!G64)/2</f>
        <v>1784899.75</v>
      </c>
      <c r="I50" s="87">
        <f>(+Assump!I42+Assump!I53*0.25+Assump!I54*0.4+Assump!I64)+(Assump!H53*0.25+Assump!H54*0.4+Assump!H42+Assump!H64)/2</f>
        <v>2416633.25</v>
      </c>
      <c r="J50" s="87">
        <f>(+Assump!J42+Assump!J53*0.25+Assump!J54*0.4+Assump!J64)+(Assump!I53*0.25+Assump!I54*0.4+Assump!I42+Assump!I64)/2</f>
        <v>2995000</v>
      </c>
      <c r="K50" s="87">
        <f>(+Assump!K42+Assump!K53*0.25+Assump!K54*0.4+Assump!K64)+(Assump!J53*0.25+Assump!J54*0.4+Assump!J42+Assump!J64)/2</f>
        <v>3785000</v>
      </c>
      <c r="L50" s="87">
        <f>(+Assump!L42+Assump!L53*0.25+Assump!L54*0.4+Assump!L64)+(Assump!K53*0.25+Assump!K54*0.4+Assump!K42+Assump!K64)/2</f>
        <v>4318000</v>
      </c>
      <c r="M50" s="87">
        <f>(+Assump!M42+Assump!M53*0.25+Assump!M54*0.4+Assump!M64)+(Assump!L53*0.25+Assump!L54*0.4+Assump!L42+Assump!L64)/2</f>
        <v>4799500</v>
      </c>
      <c r="N50" s="87">
        <f>(+Assump!N42+Assump!N53*0.25+Assump!N54*0.4+Assump!N64)+(Assump!M53*0.25+Assump!M54*0.4+Assump!M42+Assump!M64)/2</f>
        <v>5354500</v>
      </c>
      <c r="O50" s="87">
        <f>(+Assump!O42+Assump!O53*0.25+Assump!O54*0.4+Assump!O64)+(Assump!N53*0.25+Assump!N54*0.4+Assump!N42+Assump!N64)/2</f>
        <v>6096500</v>
      </c>
      <c r="P50" s="87">
        <f>(+Assump!P42+Assump!P53*0.25+Assump!P54*0.4+Assump!P64)+(Assump!O53*0.25+Assump!O54*0.4+Assump!O42+Assump!O64)/2</f>
        <v>6805000</v>
      </c>
      <c r="Q50" s="87">
        <f>(+Assump!Q42+Assump!Q53*0.25+Assump!Q54*0.4+Assump!Q64)+(Assump!P53*0.25+Assump!P54*0.4+Assump!P42+Assump!P64)/2</f>
        <v>7200000</v>
      </c>
      <c r="R50" s="87">
        <f>(+Assump!R42+Assump!R53*0.25+Assump!R54*0.4+Assump!R64)+(Assump!Q53*0.25+Assump!Q54*0.4+Assump!Q42+Assump!Q64)/2</f>
        <v>7543000</v>
      </c>
      <c r="S50" s="87">
        <f>(+Assump!S42+Assump!S53*0.25+Assump!S54*0.4+Assump!S64)+(Assump!R53*0.25+Assump!R54*0.4+Assump!R42+Assump!R64)/2</f>
        <v>8349500</v>
      </c>
      <c r="T50" s="87">
        <f>(+Assump!T42+Assump!T53*0.25+Assump!T54*0.4+Assump!T64)+(Assump!S53*0.25+Assump!S54*0.4+Assump!S42+Assump!S64)/2</f>
        <v>9429500</v>
      </c>
      <c r="U50" s="87">
        <f>(+Assump!U42+Assump!U53*0.25+Assump!U54*0.4+Assump!U64)+(Assump!T53*0.25+Assump!T54*0.4+Assump!T42+Assump!T64)/2</f>
        <v>10786500</v>
      </c>
      <c r="V50" s="87">
        <f>(+Assump!V42+Assump!V53*0.25+Assump!V54*0.4+Assump!V64)+(Assump!U53*0.25+Assump!U54*0.4+Assump!U42+Assump!U64)/2</f>
        <v>11580000</v>
      </c>
    </row>
    <row r="51" spans="2:22" ht="12">
      <c r="B51" s="83" t="s">
        <v>116</v>
      </c>
      <c r="C51" s="15"/>
      <c r="D51" s="142">
        <v>45</v>
      </c>
      <c r="E51" s="15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2:22" ht="12">
      <c r="B52" s="83"/>
      <c r="C52" s="15"/>
      <c r="D52" s="15"/>
      <c r="E52" s="15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2:22" ht="12">
      <c r="B53" s="83" t="s">
        <v>69</v>
      </c>
      <c r="C53" s="15"/>
      <c r="D53" s="15"/>
      <c r="E53" s="15"/>
      <c r="F53" s="24">
        <f>(+'IS'!D16+'IS'!D18)*F54</f>
        <v>200066.6</v>
      </c>
      <c r="G53" s="24">
        <f>(+'IS'!E16+'IS'!E18)*G54</f>
        <v>200066.6</v>
      </c>
      <c r="H53" s="24">
        <f>(+'IS'!F16+'IS'!F18)*H54</f>
        <v>200066.6</v>
      </c>
      <c r="I53" s="24">
        <f>(+'IS'!G16+'IS'!G18)*I54</f>
        <v>240000</v>
      </c>
      <c r="J53" s="24">
        <f>(+'IS'!H16+'IS'!H18)*J54</f>
        <v>240000</v>
      </c>
      <c r="K53" s="24">
        <f>(+'IS'!I16+'IS'!I18)*K54</f>
        <v>240000</v>
      </c>
      <c r="L53" s="24">
        <f>(+'IS'!J16+'IS'!J18)*L54</f>
        <v>280000</v>
      </c>
      <c r="M53" s="24">
        <f>(+'IS'!K16+'IS'!K18)*M54</f>
        <v>280000</v>
      </c>
      <c r="N53" s="24">
        <f>(+'IS'!L16+'IS'!L18)*N54</f>
        <v>280000</v>
      </c>
      <c r="O53" s="24">
        <f>(+'IS'!M16+'IS'!M18)*O54</f>
        <v>320000</v>
      </c>
      <c r="P53" s="24">
        <f>(+'IS'!N16+'IS'!N18)*P54</f>
        <v>320000</v>
      </c>
      <c r="Q53" s="24">
        <f>(+'IS'!O16+'IS'!O18)*Q54</f>
        <v>320000</v>
      </c>
      <c r="R53" s="24">
        <f>(+'IS'!P16+'IS'!P18)*R54</f>
        <v>360000</v>
      </c>
      <c r="S53" s="24">
        <f>(+'IS'!Q16+'IS'!Q18)*S54</f>
        <v>360000</v>
      </c>
      <c r="T53" s="24">
        <f>(+'IS'!R16+'IS'!R18)*T54</f>
        <v>360000</v>
      </c>
      <c r="U53" s="24">
        <f>(+'IS'!S16+'IS'!S18)*U54</f>
        <v>400000</v>
      </c>
      <c r="V53" s="24">
        <f>(+'IS'!T16+'IS'!T18)*V54</f>
        <v>400000</v>
      </c>
    </row>
    <row r="54" spans="2:22" ht="12">
      <c r="B54" s="83" t="s">
        <v>117</v>
      </c>
      <c r="C54" s="15"/>
      <c r="D54" s="86"/>
      <c r="E54" s="15"/>
      <c r="F54" s="118">
        <v>0.1</v>
      </c>
      <c r="G54" s="118">
        <v>0.1</v>
      </c>
      <c r="H54" s="118">
        <f>G54</f>
        <v>0.1</v>
      </c>
      <c r="I54" s="118">
        <f>H54</f>
        <v>0.1</v>
      </c>
      <c r="J54" s="118">
        <f>I54</f>
        <v>0.1</v>
      </c>
      <c r="K54" s="118">
        <f>J54</f>
        <v>0.1</v>
      </c>
      <c r="L54" s="118">
        <f aca="true" t="shared" si="23" ref="L54:V54">K54</f>
        <v>0.1</v>
      </c>
      <c r="M54" s="118">
        <f t="shared" si="23"/>
        <v>0.1</v>
      </c>
      <c r="N54" s="118">
        <f t="shared" si="23"/>
        <v>0.1</v>
      </c>
      <c r="O54" s="118">
        <f t="shared" si="23"/>
        <v>0.1</v>
      </c>
      <c r="P54" s="118">
        <f t="shared" si="23"/>
        <v>0.1</v>
      </c>
      <c r="Q54" s="118">
        <f t="shared" si="23"/>
        <v>0.1</v>
      </c>
      <c r="R54" s="118">
        <f t="shared" si="23"/>
        <v>0.1</v>
      </c>
      <c r="S54" s="118">
        <f t="shared" si="23"/>
        <v>0.1</v>
      </c>
      <c r="T54" s="118">
        <f t="shared" si="23"/>
        <v>0.1</v>
      </c>
      <c r="U54" s="118">
        <f t="shared" si="23"/>
        <v>0.1</v>
      </c>
      <c r="V54" s="118">
        <f t="shared" si="23"/>
        <v>0.1</v>
      </c>
    </row>
    <row r="55" spans="2:22" ht="12">
      <c r="B55" s="83"/>
      <c r="C55" s="15"/>
      <c r="D55" s="15"/>
      <c r="E55" s="15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2:22" ht="12">
      <c r="B56" s="83" t="s">
        <v>51</v>
      </c>
      <c r="C56" s="15"/>
      <c r="D56" s="15"/>
      <c r="E56" s="15"/>
      <c r="F56" s="87">
        <f>IF($D$44=-30,Assump!G30,IF($D$44=-60,Assump!G30+Assump!H30,IF($D$44=-90,Assump!G30+Assump!H30+Assump!I30,0)))</f>
        <v>0</v>
      </c>
      <c r="G56" s="87">
        <f>IF($D$44=-30,Assump!H30,IF($D$44=-60,Assump!H30+Assump!I30,IF($D$44=-90,Assump!H30+Assump!I30+Assump!J30,0)))</f>
        <v>0</v>
      </c>
      <c r="H56" s="87">
        <f>IF($D$44=-30,Assump!I30,IF($D$44=-60,Assump!I30+Assump!J30,IF($D$44=-90,Assump!I30+Assump!J30+Assump!K30,0)))</f>
        <v>0</v>
      </c>
      <c r="I56" s="87">
        <f>IF($D$44=-30,Assump!J30,IF($D$44=-60,Assump!J30+Assump!K30,IF($D$44=-90,Assump!J30+Assump!K30+Assump!L30,0)))</f>
        <v>0</v>
      </c>
      <c r="J56" s="87">
        <f>IF($D$44=-30,Assump!K30,IF($D$44=-60,Assump!K30+Assump!L30,IF($D$44=-90,Assump!K30+Assump!L30+Assump!M30,0)))</f>
        <v>0</v>
      </c>
      <c r="K56" s="87">
        <f>IF($D$44=-30,Assump!L30,IF($D$44=-60,Assump!L30+Assump!M30,IF($D$44=-90,Assump!L30+Assump!M30+Assump!N30,0)))</f>
        <v>0</v>
      </c>
      <c r="L56" s="87">
        <f>IF($D$44=-30,Assump!M30,IF($D$44=-60,Assump!M30+Assump!N30,IF($D$44=-90,Assump!M30+Assump!N30+Assump!O30,0)))</f>
        <v>0</v>
      </c>
      <c r="M56" s="87">
        <f>IF($D$44=-30,Assump!N30,IF($D$44=-60,Assump!N30+Assump!O30,IF($D$44=-90,Assump!N30+Assump!O30+Assump!P30,0)))</f>
        <v>0</v>
      </c>
      <c r="N56" s="87">
        <f>IF($D$44=-30,Assump!O30,IF($D$44=-60,Assump!O30+Assump!P30,IF($D$44=-90,Assump!O30+Assump!P30+Assump!Q30,0)))</f>
        <v>0</v>
      </c>
      <c r="O56" s="87">
        <f>IF($D$44=-30,Assump!P30,IF($D$44=-60,Assump!P30+Assump!Q30,IF($D$44=-90,Assump!P30+Assump!Q30+Assump!R30,0)))</f>
        <v>0</v>
      </c>
      <c r="P56" s="87">
        <f>IF($D$44=-30,Assump!Q30,IF($D$44=-60,Assump!Q30+Assump!R30,IF($D$44=-90,Assump!Q30+Assump!R30+Assump!S30,0)))</f>
        <v>0</v>
      </c>
      <c r="Q56" s="87">
        <f>IF($D$44=-30,Assump!R30,IF($D$44=-60,Assump!R30+Assump!S30,IF($D$44=-90,Assump!R30+Assump!S30+Assump!T30,0)))</f>
        <v>0</v>
      </c>
      <c r="R56" s="87">
        <f>IF($D$44=-30,Assump!S30,IF($D$44=-60,Assump!S30+Assump!T30,IF($D$44=-90,Assump!S30+Assump!T30+Assump!U30,0)))</f>
        <v>0</v>
      </c>
      <c r="S56" s="87">
        <f>IF($D$44=-30,Assump!T30,IF($D$44=-60,Assump!T30+Assump!U30,IF($D$44=-90,Assump!T30+Assump!U30+Assump!V30,0)))</f>
        <v>0</v>
      </c>
      <c r="T56" s="87">
        <f>IF($D$44=-30,Assump!U30,IF($D$44=-60,Assump!U30+Assump!V30,IF($D$44=-90,Assump!U30+Assump!V30+Assump!W30,0)))</f>
        <v>0</v>
      </c>
      <c r="U56" s="87">
        <f>IF($D$44=-30,Assump!V30,IF($D$44=-60,Assump!V30+Assump!W30,IF($D$44=-90,Assump!V30+Assump!W30+Assump!X30,0)))</f>
        <v>0</v>
      </c>
      <c r="V56" s="87">
        <f>IF($D$44=-30,Assump!W30,IF($D$44=-60,Assump!W30+Assump!X30,IF($D$44=-90,Assump!W30+Assump!X30+Assump!Y30,0)))</f>
        <v>0</v>
      </c>
    </row>
    <row r="57" spans="2:22" ht="12">
      <c r="B57" s="83" t="s">
        <v>66</v>
      </c>
      <c r="C57" s="15"/>
      <c r="D57" s="86"/>
      <c r="E57" s="15"/>
      <c r="F57" s="85">
        <f>+F56/'IS'!D7</f>
        <v>0</v>
      </c>
      <c r="G57" s="85">
        <f>+G56/'IS'!E7</f>
        <v>0</v>
      </c>
      <c r="H57" s="85">
        <f>+H56/'IS'!F7</f>
        <v>0</v>
      </c>
      <c r="I57" s="85">
        <f>+I56/'IS'!G7</f>
        <v>0</v>
      </c>
      <c r="J57" s="85">
        <f>+J56/'IS'!H7</f>
        <v>0</v>
      </c>
      <c r="K57" s="85">
        <f>+K56/'IS'!I7</f>
        <v>0</v>
      </c>
      <c r="L57" s="85">
        <f>+L56/'IS'!J7</f>
        <v>0</v>
      </c>
      <c r="M57" s="85">
        <f>+M56/'IS'!K7</f>
        <v>0</v>
      </c>
      <c r="N57" s="85">
        <f>+N56/'IS'!L7</f>
        <v>0</v>
      </c>
      <c r="O57" s="85">
        <f>+O56/'IS'!M7</f>
        <v>0</v>
      </c>
      <c r="P57" s="85">
        <f>+P56/'IS'!N7</f>
        <v>0</v>
      </c>
      <c r="Q57" s="85">
        <f>+Q56/'IS'!O7</f>
        <v>0</v>
      </c>
      <c r="R57" s="85">
        <f>+R56/'IS'!P7</f>
        <v>0</v>
      </c>
      <c r="S57" s="85">
        <f>+S56/'IS'!Q7</f>
        <v>0</v>
      </c>
      <c r="T57" s="85">
        <f>+T56/'IS'!R7</f>
        <v>0</v>
      </c>
      <c r="U57" s="85">
        <f>+U56/'IS'!S7</f>
        <v>0</v>
      </c>
      <c r="V57" s="85">
        <f>+V56/'IS'!T7</f>
        <v>0</v>
      </c>
    </row>
    <row r="58" spans="2:22" ht="12">
      <c r="B58" s="83"/>
      <c r="C58" s="15"/>
      <c r="D58" s="15"/>
      <c r="E58" s="15"/>
      <c r="F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22" ht="12.75">
      <c r="B59" s="88" t="s">
        <v>118</v>
      </c>
      <c r="C59" s="27"/>
      <c r="D59" s="27"/>
      <c r="E59" s="15"/>
      <c r="F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22" ht="12.75" thickBot="1">
      <c r="B60" s="8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6" spans="8:22" ht="12"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8" spans="8:9" ht="12">
      <c r="H68" s="91"/>
      <c r="I68" s="91"/>
    </row>
  </sheetData>
  <sheetProtection/>
  <printOptions/>
  <pageMargins left="0.75" right="0.75" top="1" bottom="1" header="0.5" footer="0.5"/>
  <pageSetup fitToWidth="2" horizontalDpi="600" verticalDpi="600" orientation="landscape" scale="55" r:id="rId1"/>
  <headerFooter alignWithMargins="0">
    <oddFooter>&amp;L&amp;F&amp;R&amp;D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4">
      <selection activeCell="Q33" sqref="Q33"/>
    </sheetView>
  </sheetViews>
  <sheetFormatPr defaultColWidth="9.140625" defaultRowHeight="12.75"/>
  <cols>
    <col min="2" max="2" width="41.8515625" style="0" customWidth="1"/>
    <col min="3" max="3" width="25.57421875" style="0" customWidth="1"/>
    <col min="4" max="18" width="15.8515625" style="0" customWidth="1"/>
    <col min="19" max="19" width="15.8515625" style="170" customWidth="1"/>
  </cols>
  <sheetData>
    <row r="1" spans="1:19" ht="12">
      <c r="A1" s="45"/>
      <c r="B1" s="12"/>
      <c r="C1" s="12"/>
      <c r="D1" s="12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5"/>
    </row>
    <row r="2" spans="1:19" ht="13.5">
      <c r="A2" s="12"/>
      <c r="B2" s="92" t="s">
        <v>70</v>
      </c>
      <c r="C2" s="12"/>
      <c r="D2" s="12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5"/>
    </row>
    <row r="3" spans="1:19" ht="12.75" thickBot="1">
      <c r="A3" s="12"/>
      <c r="B3" s="12"/>
      <c r="C3" s="12"/>
      <c r="D3" s="12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5"/>
    </row>
    <row r="4" spans="1:19" ht="15">
      <c r="A4" s="12"/>
      <c r="B4" s="20" t="s">
        <v>31</v>
      </c>
      <c r="C4" s="113" t="s">
        <v>95</v>
      </c>
      <c r="D4" s="113" t="s">
        <v>96</v>
      </c>
      <c r="E4" s="113" t="s">
        <v>97</v>
      </c>
      <c r="F4" s="113" t="s">
        <v>98</v>
      </c>
      <c r="G4" s="113" t="s">
        <v>99</v>
      </c>
      <c r="H4" s="114">
        <v>39478</v>
      </c>
      <c r="I4" s="114">
        <v>39506</v>
      </c>
      <c r="J4" s="114">
        <v>39538</v>
      </c>
      <c r="K4" s="114">
        <v>39568</v>
      </c>
      <c r="L4" s="114">
        <v>39599</v>
      </c>
      <c r="M4" s="114">
        <v>39629</v>
      </c>
      <c r="N4" s="114">
        <v>39660</v>
      </c>
      <c r="O4" s="114">
        <v>39691</v>
      </c>
      <c r="P4" s="114">
        <v>39721</v>
      </c>
      <c r="Q4" s="114">
        <v>39752</v>
      </c>
      <c r="R4" s="114">
        <v>39782</v>
      </c>
      <c r="S4" s="171">
        <v>39813</v>
      </c>
    </row>
    <row r="5" spans="1:19" ht="13.5">
      <c r="A5" s="12"/>
      <c r="B5" s="93" t="s">
        <v>71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26"/>
    </row>
    <row r="6" spans="1:19" ht="12">
      <c r="A6" s="12"/>
      <c r="B6" s="95" t="s">
        <v>72</v>
      </c>
      <c r="C6" s="24">
        <f>+'IS'!D22</f>
        <v>-1988041.8333333333</v>
      </c>
      <c r="D6" s="24">
        <f>+'IS'!E22</f>
        <v>-361800.16666666674</v>
      </c>
      <c r="E6" s="24">
        <f>+'IS'!F22</f>
        <v>-1609316.8333333333</v>
      </c>
      <c r="F6" s="24">
        <f>+'IS'!G22</f>
        <v>-1645259.15</v>
      </c>
      <c r="G6" s="24">
        <f>+'IS'!H22</f>
        <v>206374.3500000001</v>
      </c>
      <c r="H6" s="24">
        <f>+'IS'!I22</f>
        <v>-842841.9833333329</v>
      </c>
      <c r="I6" s="24">
        <f>+'IS'!J22</f>
        <v>-930058.1666666665</v>
      </c>
      <c r="J6" s="24">
        <f>+'IS'!K22</f>
        <v>993634</v>
      </c>
      <c r="K6" s="24">
        <f>+'IS'!L22</f>
        <v>-109765.33333333302</v>
      </c>
      <c r="L6" s="24">
        <f>+'IS'!M22</f>
        <v>151076.8500000001</v>
      </c>
      <c r="M6" s="24">
        <f>+'IS'!N22</f>
        <v>2300160.8499999996</v>
      </c>
      <c r="N6" s="24">
        <f>+'IS'!O22</f>
        <v>1449244.8499999996</v>
      </c>
      <c r="O6" s="24">
        <f>+'IS'!P22</f>
        <v>1406995.833333334</v>
      </c>
      <c r="P6" s="24">
        <f>+'IS'!Q22</f>
        <v>3501896.833333334</v>
      </c>
      <c r="Q6" s="24">
        <f>+'IS'!R22</f>
        <v>2849281.166666668</v>
      </c>
      <c r="R6" s="24">
        <f>+'IS'!S22</f>
        <v>3840481.8499999996</v>
      </c>
      <c r="S6" s="25">
        <f>+'IS'!T22</f>
        <v>6440349.516666668</v>
      </c>
    </row>
    <row r="7" spans="1:19" ht="12">
      <c r="A7" s="12"/>
      <c r="B7" s="95" t="s">
        <v>73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12">
      <c r="A8" s="12"/>
      <c r="B8" s="95" t="s">
        <v>74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12">
      <c r="A9" s="12"/>
      <c r="B9" s="95" t="s">
        <v>75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ht="12">
      <c r="A10" s="12"/>
      <c r="B10" s="95" t="s">
        <v>76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19" ht="12">
      <c r="A11" s="12"/>
      <c r="B11" s="9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12.75">
      <c r="A12" s="12"/>
      <c r="B12" s="96" t="s">
        <v>77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12">
      <c r="A13" s="12"/>
      <c r="B13" s="95" t="s">
        <v>40</v>
      </c>
      <c r="C13" s="24">
        <f>+'BS'!E12-'BS'!F12</f>
        <v>-16666.666666666668</v>
      </c>
      <c r="D13" s="24">
        <f>+'BS'!F12-'BS'!G12</f>
        <v>-1666666.6666666665</v>
      </c>
      <c r="E13" s="24">
        <f>+'BS'!G12-'BS'!H12</f>
        <v>1166666.6666666665</v>
      </c>
      <c r="F13" s="24">
        <f>+'BS'!H12-'BS'!I12</f>
        <v>-483333.3333333333</v>
      </c>
      <c r="G13" s="24">
        <f>+'BS'!I12-'BS'!J12</f>
        <v>-2000000</v>
      </c>
      <c r="H13" s="24">
        <f>+'BS'!J12-'BS'!K12</f>
        <v>833333.333333333</v>
      </c>
      <c r="I13" s="24">
        <f>+'BS'!K12-'BS'!L12</f>
        <v>-516666.6666666665</v>
      </c>
      <c r="J13" s="24">
        <f>+'BS'!L12-'BS'!M12</f>
        <v>-2166666.6666666665</v>
      </c>
      <c r="K13" s="24">
        <f>+'BS'!M12-'BS'!N12</f>
        <v>833333.333333333</v>
      </c>
      <c r="L13" s="24">
        <f>+'BS'!N12-'BS'!O12</f>
        <v>-983333.333333333</v>
      </c>
      <c r="M13" s="24">
        <f>+'BS'!O12-'BS'!P12</f>
        <v>-2500000</v>
      </c>
      <c r="N13" s="24">
        <f>+'BS'!P12-'BS'!Q12</f>
        <v>500000</v>
      </c>
      <c r="O13" s="24">
        <f>+'BS'!Q12-'BS'!R12</f>
        <v>-683333.333333334</v>
      </c>
      <c r="P13" s="24">
        <f>+'BS'!R12-'BS'!S12</f>
        <v>-2500000</v>
      </c>
      <c r="Q13" s="24">
        <f>+'BS'!S12-'BS'!T12</f>
        <v>166666.66666666605</v>
      </c>
      <c r="R13" s="24">
        <f>+'BS'!T12-'BS'!U12</f>
        <v>-1983333.333333332</v>
      </c>
      <c r="S13" s="25">
        <f>+'BS'!U12-'BS'!V12</f>
        <v>-3166666.666666668</v>
      </c>
    </row>
    <row r="14" spans="1:19" ht="12">
      <c r="A14" s="12"/>
      <c r="B14" s="95" t="s">
        <v>109</v>
      </c>
      <c r="C14" s="24">
        <f>+'BS'!E10-'BS'!F10</f>
        <v>-30000</v>
      </c>
      <c r="D14" s="24">
        <f>+'BS'!F10-'BS'!G10</f>
        <v>-60000</v>
      </c>
      <c r="E14" s="24">
        <f>+'BS'!G10-'BS'!H10</f>
        <v>-87000</v>
      </c>
      <c r="F14" s="24">
        <f>+'BS'!H10-'BS'!I10</f>
        <v>-90000</v>
      </c>
      <c r="G14" s="24">
        <f>+'BS'!I10-'BS'!J10</f>
        <v>-120000</v>
      </c>
      <c r="H14" s="24">
        <f>+'BS'!J10-'BS'!K10</f>
        <v>-93000</v>
      </c>
      <c r="I14" s="24">
        <f>+'BS'!K10-'BS'!L10</f>
        <v>-120000</v>
      </c>
      <c r="J14" s="24">
        <f>+'BS'!L10-'BS'!M10</f>
        <v>-120000</v>
      </c>
      <c r="K14" s="24">
        <f>+'BS'!M10-'BS'!N10</f>
        <v>-177000</v>
      </c>
      <c r="L14" s="24">
        <f>+'BS'!N10-'BS'!O10</f>
        <v>-180000</v>
      </c>
      <c r="M14" s="24">
        <f>+'BS'!O10-'BS'!P10</f>
        <v>-180000</v>
      </c>
      <c r="N14" s="24">
        <f>+'BS'!P10-'BS'!Q10</f>
        <v>-123000</v>
      </c>
      <c r="O14" s="24">
        <f>+'BS'!Q10-'BS'!R10</f>
        <v>-180000</v>
      </c>
      <c r="P14" s="24">
        <f>+'BS'!R10-'BS'!S10</f>
        <v>-240000</v>
      </c>
      <c r="Q14" s="24">
        <f>+'BS'!S10-'BS'!T10</f>
        <v>-357000</v>
      </c>
      <c r="R14" s="24">
        <f>+'BS'!T10-'BS'!U10</f>
        <v>-300000</v>
      </c>
      <c r="S14" s="25">
        <f>+'BS'!U10-'BS'!V10</f>
        <v>0</v>
      </c>
    </row>
    <row r="15" spans="1:19" ht="12">
      <c r="A15" s="12"/>
      <c r="B15" s="95" t="s">
        <v>105</v>
      </c>
      <c r="C15" s="24">
        <f>+'BS'!E11-'BS'!F11</f>
        <v>-23957.5</v>
      </c>
      <c r="D15" s="24">
        <f>+'BS'!F11-'BS'!G11</f>
        <v>-238532.5</v>
      </c>
      <c r="E15" s="24">
        <f>+'BS'!G11-'BS'!H11</f>
        <v>-467682.5</v>
      </c>
      <c r="F15" s="24">
        <f>+'BS'!H11-'BS'!I11</f>
        <v>-686407.5</v>
      </c>
      <c r="G15" s="24">
        <f>+'BS'!I11-'BS'!J11</f>
        <v>-894707.5</v>
      </c>
      <c r="H15" s="24">
        <f>+'BS'!J11-'BS'!K11</f>
        <v>-1332157.5</v>
      </c>
      <c r="I15" s="24">
        <f>+'BS'!K11-'BS'!L11</f>
        <v>-1269607.5</v>
      </c>
      <c r="J15" s="24">
        <f>+'BS'!L11-'BS'!M11</f>
        <v>-1446632.5</v>
      </c>
      <c r="K15" s="24">
        <f>+'BS'!M11-'BS'!N11</f>
        <v>-1613232.5</v>
      </c>
      <c r="L15" s="24">
        <f>+'BS'!N11-'BS'!O11</f>
        <v>-1769407.5</v>
      </c>
      <c r="M15" s="24">
        <f>+'BS'!O11-'BS'!P11</f>
        <v>-1915157.5</v>
      </c>
      <c r="N15" s="24">
        <f>+'BS'!P11-'BS'!Q11</f>
        <v>-1810907.5</v>
      </c>
      <c r="O15" s="24">
        <f>+'BS'!Q11-'BS'!R11</f>
        <v>-1706657.5</v>
      </c>
      <c r="P15" s="24">
        <f>+'BS'!R11-'BS'!S11</f>
        <v>-2081557.5</v>
      </c>
      <c r="Q15" s="24">
        <f>+'BS'!S11-'BS'!T11</f>
        <v>-2435607.5</v>
      </c>
      <c r="R15" s="24">
        <f>+'BS'!T11-'BS'!U11</f>
        <v>-2768807.5</v>
      </c>
      <c r="S15" s="25">
        <f>+'BS'!U11-'BS'!V11</f>
        <v>-2602007.5</v>
      </c>
    </row>
    <row r="16" spans="1:19" ht="12">
      <c r="A16" s="12"/>
      <c r="B16" s="95" t="s">
        <v>41</v>
      </c>
      <c r="C16" s="24">
        <f>+'BS'!E13-'BS'!F13</f>
        <v>-30000</v>
      </c>
      <c r="D16" s="24">
        <f>+'BS'!F13-'BS'!G13</f>
        <v>-80000</v>
      </c>
      <c r="E16" s="24">
        <f>+'BS'!G13-'BS'!H13</f>
        <v>-96000</v>
      </c>
      <c r="F16" s="24">
        <f>+'BS'!H13-'BS'!I13</f>
        <v>-115200</v>
      </c>
      <c r="G16" s="24">
        <f>+'BS'!I13-'BS'!J13</f>
        <v>-138240</v>
      </c>
      <c r="H16" s="24">
        <f>+'BS'!J13-'BS'!K13</f>
        <v>-165888</v>
      </c>
      <c r="I16" s="24">
        <f>+'BS'!K13-'BS'!L13</f>
        <v>-199065.59999999986</v>
      </c>
      <c r="J16" s="24">
        <f>+'BS'!L13-'BS'!M13</f>
        <v>-238878.71999999997</v>
      </c>
      <c r="K16" s="24">
        <f>+'BS'!M13-'BS'!N13</f>
        <v>-286654.4639999999</v>
      </c>
      <c r="L16" s="24">
        <f>+'BS'!N13-'BS'!O13</f>
        <v>-343985.35679999995</v>
      </c>
      <c r="M16" s="24">
        <f>+'BS'!O13-'BS'!P13</f>
        <v>-412782.42815999966</v>
      </c>
      <c r="N16" s="24">
        <f>+'BS'!P13-'BS'!Q13</f>
        <v>-495338.9137919997</v>
      </c>
      <c r="O16" s="24">
        <f>+'BS'!Q13-'BS'!R13</f>
        <v>-594406.6965503995</v>
      </c>
      <c r="P16" s="24">
        <f>+'BS'!R13-'BS'!S13</f>
        <v>-713288.0358604793</v>
      </c>
      <c r="Q16" s="24">
        <f>+'BS'!S13-'BS'!T13</f>
        <v>-855945.643032575</v>
      </c>
      <c r="R16" s="24">
        <f>+'BS'!T13-'BS'!U13</f>
        <v>-1027134.77163909</v>
      </c>
      <c r="S16" s="25">
        <f>+'BS'!U13-'BS'!V13</f>
        <v>-1232561.725966908</v>
      </c>
    </row>
    <row r="17" spans="1:19" ht="12">
      <c r="A17" s="12"/>
      <c r="B17" s="95" t="s">
        <v>78</v>
      </c>
      <c r="C17" s="24">
        <f>+'BS'!E19-'BS'!F19</f>
        <v>30210</v>
      </c>
      <c r="D17" s="24">
        <f>+'BS'!F19-'BS'!G19</f>
        <v>-18308</v>
      </c>
      <c r="E17" s="24">
        <f>+'BS'!G19-'BS'!H19</f>
        <v>0</v>
      </c>
      <c r="F17" s="24">
        <f>+'BS'!H19-'BS'!I19</f>
        <v>0</v>
      </c>
      <c r="G17" s="24">
        <f>+'BS'!I19-'BS'!J19</f>
        <v>0</v>
      </c>
      <c r="H17" s="24">
        <f>+'BS'!J19-'BS'!K19</f>
        <v>0</v>
      </c>
      <c r="I17" s="24">
        <f>+'BS'!K19-'BS'!L19</f>
        <v>0</v>
      </c>
      <c r="J17" s="24">
        <f>+'BS'!L19-'BS'!M19</f>
        <v>0</v>
      </c>
      <c r="K17" s="24">
        <f>+'BS'!M19-'BS'!N19</f>
        <v>0</v>
      </c>
      <c r="L17" s="24">
        <f>+'BS'!N19-'BS'!O19</f>
        <v>0</v>
      </c>
      <c r="M17" s="24">
        <f>+'BS'!O19-'BS'!P19</f>
        <v>0</v>
      </c>
      <c r="N17" s="24">
        <f>+'BS'!P19-'BS'!Q19</f>
        <v>0</v>
      </c>
      <c r="O17" s="24">
        <f>+'BS'!Q19-'BS'!R19</f>
        <v>0</v>
      </c>
      <c r="P17" s="24">
        <f>+'BS'!R19-'BS'!S19</f>
        <v>0</v>
      </c>
      <c r="Q17" s="24">
        <f>+'BS'!S19-'BS'!T19</f>
        <v>0</v>
      </c>
      <c r="R17" s="24">
        <f>+'BS'!T19-'BS'!U19</f>
        <v>0</v>
      </c>
      <c r="S17" s="25">
        <f>+'BS'!U19-'BS'!V19</f>
        <v>0</v>
      </c>
    </row>
    <row r="18" spans="1:19" ht="12">
      <c r="A18" s="12"/>
      <c r="B18" s="95" t="s">
        <v>79</v>
      </c>
      <c r="C18" s="24">
        <f>+'BS'!F23-'BS'!E23</f>
        <v>395066.5</v>
      </c>
      <c r="D18" s="24">
        <f>+'BS'!G23-'BS'!F23</f>
        <v>352333.25</v>
      </c>
      <c r="E18" s="24">
        <f>+'BS'!H23-'BS'!G23</f>
        <v>437500</v>
      </c>
      <c r="F18" s="24">
        <f>+'BS'!I23-'BS'!H23</f>
        <v>631733.5</v>
      </c>
      <c r="G18" s="24">
        <f>+'BS'!J23-'BS'!I23</f>
        <v>578366.75</v>
      </c>
      <c r="H18" s="24">
        <f>+'BS'!K23-'BS'!J23</f>
        <v>790000</v>
      </c>
      <c r="I18" s="24">
        <f>+'BS'!L23-'BS'!K23</f>
        <v>533000</v>
      </c>
      <c r="J18" s="24">
        <f>+'BS'!M23-'BS'!L23</f>
        <v>481500</v>
      </c>
      <c r="K18" s="24">
        <f>+'BS'!N23-'BS'!M23</f>
        <v>555000</v>
      </c>
      <c r="L18" s="24">
        <f>+'BS'!O23-'BS'!N23</f>
        <v>742000</v>
      </c>
      <c r="M18" s="24">
        <f>+'BS'!P23-'BS'!O23</f>
        <v>708500</v>
      </c>
      <c r="N18" s="24">
        <f>+'BS'!Q23-'BS'!P23</f>
        <v>395000</v>
      </c>
      <c r="O18" s="24">
        <f>+'BS'!R23-'BS'!Q23</f>
        <v>343000</v>
      </c>
      <c r="P18" s="24">
        <f>+'BS'!S23-'BS'!R23</f>
        <v>806500</v>
      </c>
      <c r="Q18" s="24">
        <f>+'BS'!T23-'BS'!S23</f>
        <v>1080000</v>
      </c>
      <c r="R18" s="24">
        <f>+'BS'!U23-'BS'!T23</f>
        <v>1357000</v>
      </c>
      <c r="S18" s="25">
        <f>+'BS'!V23-'BS'!U23</f>
        <v>793500</v>
      </c>
    </row>
    <row r="19" spans="1:19" ht="12">
      <c r="A19" s="12"/>
      <c r="B19" s="95" t="s">
        <v>80</v>
      </c>
      <c r="C19" s="24">
        <f>+'BS'!F25-'BS'!E25</f>
        <v>-500000</v>
      </c>
      <c r="D19" s="24">
        <f>+'BS'!G25-'BS'!F25</f>
        <v>0</v>
      </c>
      <c r="E19" s="24">
        <f>+'BS'!H25-'BS'!G25</f>
        <v>0</v>
      </c>
      <c r="F19" s="24">
        <f>+'BS'!I25-'BS'!H25</f>
        <v>0</v>
      </c>
      <c r="G19" s="24">
        <f>+'BS'!J25-'BS'!I25</f>
        <v>0</v>
      </c>
      <c r="H19" s="24">
        <f>+'BS'!K25-'BS'!J25</f>
        <v>0</v>
      </c>
      <c r="I19" s="24">
        <f>+'BS'!L25-'BS'!K25</f>
        <v>0</v>
      </c>
      <c r="J19" s="24">
        <f>+'BS'!M25-'BS'!L25</f>
        <v>0</v>
      </c>
      <c r="K19" s="24">
        <f>+'BS'!N25-'BS'!M25</f>
        <v>0</v>
      </c>
      <c r="L19" s="24">
        <f>+'BS'!O25-'BS'!N25</f>
        <v>0</v>
      </c>
      <c r="M19" s="24">
        <f>+'BS'!P25-'BS'!O25</f>
        <v>0</v>
      </c>
      <c r="N19" s="24">
        <f>+'BS'!Q25-'BS'!P25</f>
        <v>0</v>
      </c>
      <c r="O19" s="24">
        <f>+'BS'!R25-'BS'!Q25</f>
        <v>0</v>
      </c>
      <c r="P19" s="24">
        <f>+'BS'!S25-'BS'!R25</f>
        <v>0</v>
      </c>
      <c r="Q19" s="24">
        <f>+'BS'!T25-'BS'!S25</f>
        <v>0</v>
      </c>
      <c r="R19" s="24">
        <f>+'BS'!U25-'BS'!T25</f>
        <v>0</v>
      </c>
      <c r="S19" s="25">
        <f>+'BS'!V25-'BS'!U25</f>
        <v>0</v>
      </c>
    </row>
    <row r="20" spans="1:19" ht="12">
      <c r="A20" s="12"/>
      <c r="B20" s="95" t="s">
        <v>50</v>
      </c>
      <c r="C20" s="24">
        <f>+'BS'!F24-'BS'!E24</f>
        <v>-499933.4</v>
      </c>
      <c r="D20" s="24">
        <f>+'BS'!G24-'BS'!F24</f>
        <v>0</v>
      </c>
      <c r="E20" s="24">
        <f>+'BS'!H24-'BS'!G24</f>
        <v>0</v>
      </c>
      <c r="F20" s="24">
        <f>+'BS'!I24-'BS'!H24</f>
        <v>39933.399999999994</v>
      </c>
      <c r="G20" s="24">
        <f>+'BS'!J24-'BS'!I24</f>
        <v>0</v>
      </c>
      <c r="H20" s="24">
        <f>+'BS'!K24-'BS'!J24</f>
        <v>0</v>
      </c>
      <c r="I20" s="24">
        <f>+'BS'!L24-'BS'!K24</f>
        <v>40000</v>
      </c>
      <c r="J20" s="24">
        <f>+'BS'!M24-'BS'!L24</f>
        <v>0</v>
      </c>
      <c r="K20" s="24">
        <f>+'BS'!N24-'BS'!M24</f>
        <v>0</v>
      </c>
      <c r="L20" s="24">
        <f>+'BS'!O24-'BS'!N24</f>
        <v>40000</v>
      </c>
      <c r="M20" s="24">
        <f>+'BS'!P24-'BS'!O24</f>
        <v>0</v>
      </c>
      <c r="N20" s="24">
        <f>+'BS'!Q24-'BS'!P24</f>
        <v>0</v>
      </c>
      <c r="O20" s="24">
        <f>+'BS'!R24-'BS'!Q24</f>
        <v>40000</v>
      </c>
      <c r="P20" s="24">
        <f>+'BS'!S24-'BS'!R24</f>
        <v>0</v>
      </c>
      <c r="Q20" s="24">
        <f>+'BS'!T24-'BS'!S24</f>
        <v>0</v>
      </c>
      <c r="R20" s="24">
        <f>+'BS'!U24-'BS'!T24</f>
        <v>40000</v>
      </c>
      <c r="S20" s="25">
        <f>+'BS'!V24-'BS'!U24</f>
        <v>0</v>
      </c>
    </row>
    <row r="21" spans="1:19" ht="13.5">
      <c r="A21" s="12"/>
      <c r="B21" s="97" t="s">
        <v>81</v>
      </c>
      <c r="C21" s="62">
        <f aca="true" t="shared" si="0" ref="C21:H21">SUM(C6:C20)</f>
        <v>-2663322.9</v>
      </c>
      <c r="D21" s="62">
        <f t="shared" si="0"/>
        <v>-2072974.083333333</v>
      </c>
      <c r="E21" s="62">
        <f>SUM(E6:E20)</f>
        <v>-655832.6666666667</v>
      </c>
      <c r="F21" s="62">
        <f t="shared" si="0"/>
        <v>-2348533.0833333335</v>
      </c>
      <c r="G21" s="62">
        <f t="shared" si="0"/>
        <v>-2368206.4</v>
      </c>
      <c r="H21" s="62">
        <f t="shared" si="0"/>
        <v>-810554.1499999999</v>
      </c>
      <c r="I21" s="62">
        <f aca="true" t="shared" si="1" ref="I21:S21">SUM(I6:I20)</f>
        <v>-2462397.9333333327</v>
      </c>
      <c r="J21" s="62">
        <f t="shared" si="1"/>
        <v>-2497043.8866666667</v>
      </c>
      <c r="K21" s="62">
        <f t="shared" si="1"/>
        <v>-798318.9639999999</v>
      </c>
      <c r="L21" s="62">
        <f t="shared" si="1"/>
        <v>-2343649.3401333326</v>
      </c>
      <c r="M21" s="62">
        <f t="shared" si="1"/>
        <v>-1999279.07816</v>
      </c>
      <c r="N21" s="62">
        <f t="shared" si="1"/>
        <v>-85001.56379200006</v>
      </c>
      <c r="O21" s="62">
        <f t="shared" si="1"/>
        <v>-1374401.6965503995</v>
      </c>
      <c r="P21" s="62">
        <f t="shared" si="1"/>
        <v>-1226448.7025271454</v>
      </c>
      <c r="Q21" s="62">
        <f t="shared" si="1"/>
        <v>447394.6903007589</v>
      </c>
      <c r="R21" s="62">
        <f t="shared" si="1"/>
        <v>-841793.7549724225</v>
      </c>
      <c r="S21" s="127">
        <f t="shared" si="1"/>
        <v>232613.6240330916</v>
      </c>
    </row>
    <row r="22" spans="1:19" ht="13.5">
      <c r="A22" s="12"/>
      <c r="B22" s="9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</row>
    <row r="23" spans="1:19" ht="13.5">
      <c r="A23" s="12"/>
      <c r="B23" s="99" t="s">
        <v>82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28"/>
    </row>
    <row r="24" spans="1:19" ht="12">
      <c r="A24" s="12"/>
      <c r="B24" s="101" t="s">
        <v>83</v>
      </c>
      <c r="C24" s="24">
        <f>+'BS'!E18-'BS'!F18</f>
        <v>-125000</v>
      </c>
      <c r="D24" s="24">
        <f>+'BS'!F18-'BS'!G18</f>
        <v>-131250</v>
      </c>
      <c r="E24" s="24">
        <f>+'BS'!G18-'BS'!H18</f>
        <v>-137812.5</v>
      </c>
      <c r="F24" s="24">
        <f>+'BS'!H18-'BS'!I18</f>
        <v>-144703.125</v>
      </c>
      <c r="G24" s="24">
        <f>+'BS'!I18-'BS'!J18</f>
        <v>-151938.28125</v>
      </c>
      <c r="H24" s="24">
        <f>+'BS'!J18-'BS'!K18</f>
        <v>-159535.1953125</v>
      </c>
      <c r="I24" s="24">
        <f>+'BS'!K18-'BS'!L18</f>
        <v>-167511.955078125</v>
      </c>
      <c r="J24" s="24">
        <f>+'BS'!L18-'BS'!M18</f>
        <v>-175887.55283203162</v>
      </c>
      <c r="K24" s="24">
        <f>+'BS'!M18-'BS'!N18</f>
        <v>-184681.9304736331</v>
      </c>
      <c r="L24" s="24">
        <f>+'BS'!N18-'BS'!O18</f>
        <v>-193916.02699731477</v>
      </c>
      <c r="M24" s="24">
        <f>+'BS'!O18-'BS'!P18</f>
        <v>-203611.82834718004</v>
      </c>
      <c r="N24" s="24">
        <f>+'BS'!P18-'BS'!Q18</f>
        <v>-213792.41976453923</v>
      </c>
      <c r="O24" s="24">
        <f>+'BS'!Q18-'BS'!R18</f>
        <v>-224482.04075276665</v>
      </c>
      <c r="P24" s="24">
        <f>+'BS'!R18-'BS'!S18</f>
        <v>-235706.14279040508</v>
      </c>
      <c r="Q24" s="24">
        <f>+'BS'!S18-'BS'!T18</f>
        <v>-247491.44992992468</v>
      </c>
      <c r="R24" s="24">
        <f>+'BS'!T18-'BS'!U18</f>
        <v>-259866.02242642082</v>
      </c>
      <c r="S24" s="25">
        <f>+'BS'!U18-'BS'!V18</f>
        <v>-272859.32354774233</v>
      </c>
    </row>
    <row r="25" spans="1:19" ht="12">
      <c r="A25" s="12"/>
      <c r="B25" s="101" t="s">
        <v>84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ht="12">
      <c r="A26" s="12"/>
      <c r="B26" s="10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spans="1:19" ht="13.5">
      <c r="A27" s="15"/>
      <c r="B27" s="102" t="s">
        <v>85</v>
      </c>
      <c r="C27" s="103">
        <f aca="true" t="shared" si="2" ref="C27:H27">SUM(C24:C26)</f>
        <v>-125000</v>
      </c>
      <c r="D27" s="77">
        <f t="shared" si="2"/>
        <v>-131250</v>
      </c>
      <c r="E27" s="77">
        <f t="shared" si="2"/>
        <v>-137812.5</v>
      </c>
      <c r="F27" s="103">
        <f t="shared" si="2"/>
        <v>-144703.125</v>
      </c>
      <c r="G27" s="103">
        <f t="shared" si="2"/>
        <v>-151938.28125</v>
      </c>
      <c r="H27" s="103">
        <f t="shared" si="2"/>
        <v>-159535.1953125</v>
      </c>
      <c r="I27" s="103">
        <f aca="true" t="shared" si="3" ref="I27:S27">SUM(I24:I26)</f>
        <v>-167511.955078125</v>
      </c>
      <c r="J27" s="103">
        <f t="shared" si="3"/>
        <v>-175887.55283203162</v>
      </c>
      <c r="K27" s="103">
        <f t="shared" si="3"/>
        <v>-184681.9304736331</v>
      </c>
      <c r="L27" s="103">
        <f t="shared" si="3"/>
        <v>-193916.02699731477</v>
      </c>
      <c r="M27" s="103">
        <f t="shared" si="3"/>
        <v>-203611.82834718004</v>
      </c>
      <c r="N27" s="103">
        <f t="shared" si="3"/>
        <v>-213792.41976453923</v>
      </c>
      <c r="O27" s="103">
        <f t="shared" si="3"/>
        <v>-224482.04075276665</v>
      </c>
      <c r="P27" s="103">
        <f t="shared" si="3"/>
        <v>-235706.14279040508</v>
      </c>
      <c r="Q27" s="103">
        <f t="shared" si="3"/>
        <v>-247491.44992992468</v>
      </c>
      <c r="R27" s="103">
        <f t="shared" si="3"/>
        <v>-259866.02242642082</v>
      </c>
      <c r="S27" s="129">
        <f t="shared" si="3"/>
        <v>-272859.32354774233</v>
      </c>
    </row>
    <row r="28" spans="1:19" ht="13.5">
      <c r="A28" s="15"/>
      <c r="B28" s="9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3.5">
      <c r="A29" s="15"/>
      <c r="B29" s="99" t="s">
        <v>86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28"/>
    </row>
    <row r="30" spans="1:19" ht="12">
      <c r="A30" s="15"/>
      <c r="B30" s="101" t="s">
        <v>87</v>
      </c>
      <c r="C30" s="24">
        <f>+'BS'!F29-'BS'!E29</f>
        <v>0</v>
      </c>
      <c r="D30" s="24">
        <f>+'BS'!G29-'BS'!F29</f>
        <v>0</v>
      </c>
      <c r="E30" s="24">
        <f>+'BS'!H29-'BS'!G29</f>
        <v>0</v>
      </c>
      <c r="F30" s="24">
        <f>+'BS'!I29-'BS'!H29</f>
        <v>0</v>
      </c>
      <c r="G30" s="24">
        <f>+'BS'!J29-'BS'!I29</f>
        <v>0</v>
      </c>
      <c r="H30" s="24">
        <f>+'BS'!K29-'BS'!J29</f>
        <v>0</v>
      </c>
      <c r="I30" s="24">
        <f>+'BS'!L29-'BS'!K29</f>
        <v>0</v>
      </c>
      <c r="J30" s="24">
        <f>+'BS'!M29-'BS'!L29</f>
        <v>0</v>
      </c>
      <c r="K30" s="24">
        <f>+'BS'!N29-'BS'!M29</f>
        <v>0</v>
      </c>
      <c r="L30" s="24">
        <f>+'BS'!O29-'BS'!N29</f>
        <v>0</v>
      </c>
      <c r="M30" s="24">
        <f>+'BS'!P29-'BS'!O29</f>
        <v>0</v>
      </c>
      <c r="N30" s="24">
        <f>+'BS'!Q29-'BS'!P29</f>
        <v>0</v>
      </c>
      <c r="O30" s="24">
        <f>+'BS'!R29-'BS'!Q29</f>
        <v>0</v>
      </c>
      <c r="P30" s="24">
        <f>+'BS'!S29-'BS'!R29</f>
        <v>0</v>
      </c>
      <c r="Q30" s="24">
        <f>+'BS'!T29-'BS'!S29</f>
        <v>0</v>
      </c>
      <c r="R30" s="24">
        <f>+'BS'!U29-'BS'!T29</f>
        <v>0</v>
      </c>
      <c r="S30" s="25">
        <f>+'BS'!V29-'BS'!U29</f>
        <v>0</v>
      </c>
    </row>
    <row r="31" spans="1:19" ht="12">
      <c r="A31" s="15"/>
      <c r="B31" s="101" t="s">
        <v>88</v>
      </c>
      <c r="C31" s="24"/>
      <c r="D31" s="24"/>
      <c r="E31" s="24">
        <f>+D31</f>
        <v>0</v>
      </c>
      <c r="F31" s="24">
        <v>0</v>
      </c>
      <c r="G31" s="24">
        <v>0</v>
      </c>
      <c r="H31" s="24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spans="1:19" ht="12">
      <c r="A32" s="15"/>
      <c r="B32" s="101" t="s">
        <v>89</v>
      </c>
      <c r="C32" s="24"/>
      <c r="D32" s="24"/>
      <c r="E32" s="24"/>
      <c r="F32" s="24">
        <v>0</v>
      </c>
      <c r="G32" s="24">
        <v>0</v>
      </c>
      <c r="H32" s="24"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spans="1:19" ht="12">
      <c r="A33" s="15"/>
      <c r="B33" s="101" t="s">
        <v>90</v>
      </c>
      <c r="C33" s="24"/>
      <c r="D33" s="24"/>
      <c r="E33" s="24"/>
      <c r="F33" s="24">
        <v>0</v>
      </c>
      <c r="G33" s="24">
        <v>0</v>
      </c>
      <c r="H33" s="24"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ht="12">
      <c r="A34" s="15"/>
      <c r="B34" s="101" t="s">
        <v>91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</row>
    <row r="35" spans="1:19" ht="13.5">
      <c r="A35" s="104"/>
      <c r="B35" s="102" t="s">
        <v>92</v>
      </c>
      <c r="C35" s="105">
        <f aca="true" t="shared" si="4" ref="C35:H35">SUM(C30:C34)</f>
        <v>0</v>
      </c>
      <c r="D35" s="105">
        <f t="shared" si="4"/>
        <v>0</v>
      </c>
      <c r="E35" s="105">
        <f t="shared" si="4"/>
        <v>0</v>
      </c>
      <c r="F35" s="105">
        <f t="shared" si="4"/>
        <v>0</v>
      </c>
      <c r="G35" s="105">
        <f t="shared" si="4"/>
        <v>0</v>
      </c>
      <c r="H35" s="105">
        <f t="shared" si="4"/>
        <v>0</v>
      </c>
      <c r="I35" s="105">
        <f aca="true" t="shared" si="5" ref="I35:S35">SUM(I30:I34)</f>
        <v>0</v>
      </c>
      <c r="J35" s="105">
        <f t="shared" si="5"/>
        <v>0</v>
      </c>
      <c r="K35" s="105">
        <f t="shared" si="5"/>
        <v>0</v>
      </c>
      <c r="L35" s="105">
        <f t="shared" si="5"/>
        <v>0</v>
      </c>
      <c r="M35" s="105">
        <f t="shared" si="5"/>
        <v>0</v>
      </c>
      <c r="N35" s="105">
        <f t="shared" si="5"/>
        <v>0</v>
      </c>
      <c r="O35" s="105">
        <f t="shared" si="5"/>
        <v>0</v>
      </c>
      <c r="P35" s="105">
        <f t="shared" si="5"/>
        <v>0</v>
      </c>
      <c r="Q35" s="105">
        <f t="shared" si="5"/>
        <v>0</v>
      </c>
      <c r="R35" s="105">
        <f t="shared" si="5"/>
        <v>0</v>
      </c>
      <c r="S35" s="130">
        <f t="shared" si="5"/>
        <v>0</v>
      </c>
    </row>
    <row r="36" spans="1:19" ht="13.5">
      <c r="A36" s="15"/>
      <c r="B36" s="9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19" ht="12.75">
      <c r="A37" s="15"/>
      <c r="B37" s="106" t="s">
        <v>93</v>
      </c>
      <c r="C37" s="107">
        <f aca="true" t="shared" si="6" ref="C37:H37">C35+C27+C21</f>
        <v>-2788322.9</v>
      </c>
      <c r="D37" s="107">
        <f t="shared" si="6"/>
        <v>-2204224.083333333</v>
      </c>
      <c r="E37" s="107">
        <f t="shared" si="6"/>
        <v>-793645.1666666667</v>
      </c>
      <c r="F37" s="107">
        <f t="shared" si="6"/>
        <v>-2493236.2083333335</v>
      </c>
      <c r="G37" s="107">
        <f t="shared" si="6"/>
        <v>-2520144.68125</v>
      </c>
      <c r="H37" s="107">
        <f t="shared" si="6"/>
        <v>-970089.3453124999</v>
      </c>
      <c r="I37" s="107">
        <f aca="true" t="shared" si="7" ref="I37:S37">I35+I27+I21</f>
        <v>-2629909.8884114577</v>
      </c>
      <c r="J37" s="107">
        <f t="shared" si="7"/>
        <v>-2672931.4394986983</v>
      </c>
      <c r="K37" s="107">
        <f t="shared" si="7"/>
        <v>-983000.894473633</v>
      </c>
      <c r="L37" s="107">
        <f t="shared" si="7"/>
        <v>-2537565.3671306474</v>
      </c>
      <c r="M37" s="107">
        <f t="shared" si="7"/>
        <v>-2202890.90650718</v>
      </c>
      <c r="N37" s="107">
        <f t="shared" si="7"/>
        <v>-298793.9835565393</v>
      </c>
      <c r="O37" s="107">
        <f t="shared" si="7"/>
        <v>-1598883.7373031662</v>
      </c>
      <c r="P37" s="107">
        <f t="shared" si="7"/>
        <v>-1462154.8453175505</v>
      </c>
      <c r="Q37" s="107">
        <f t="shared" si="7"/>
        <v>199903.24037083425</v>
      </c>
      <c r="R37" s="107">
        <f t="shared" si="7"/>
        <v>-1101659.7773988433</v>
      </c>
      <c r="S37" s="131">
        <f t="shared" si="7"/>
        <v>-40245.69951465074</v>
      </c>
    </row>
    <row r="38" spans="1:19" ht="12.75" thickBot="1">
      <c r="A38" s="15"/>
      <c r="B38" s="108" t="s">
        <v>102</v>
      </c>
      <c r="C38" s="109">
        <v>21000000</v>
      </c>
      <c r="D38" s="109">
        <f>C39</f>
        <v>18211677.1</v>
      </c>
      <c r="E38" s="109">
        <f>D39</f>
        <v>16007453.01666667</v>
      </c>
      <c r="F38" s="109">
        <f>E39</f>
        <v>15213807.850000003</v>
      </c>
      <c r="G38" s="109">
        <f>F39</f>
        <v>12720571.64166667</v>
      </c>
      <c r="H38" s="109">
        <f>G39</f>
        <v>10200426.960416669</v>
      </c>
      <c r="I38" s="109">
        <f aca="true" t="shared" si="8" ref="I38:S38">H39</f>
        <v>9230337.615104169</v>
      </c>
      <c r="J38" s="109">
        <f t="shared" si="8"/>
        <v>6600427.726692711</v>
      </c>
      <c r="K38" s="109">
        <f t="shared" si="8"/>
        <v>3927496.2871940127</v>
      </c>
      <c r="L38" s="109">
        <f t="shared" si="8"/>
        <v>2944495.39272038</v>
      </c>
      <c r="M38" s="109">
        <f t="shared" si="8"/>
        <v>406930.02558973245</v>
      </c>
      <c r="N38" s="109">
        <f t="shared" si="8"/>
        <v>-1795960.8809174476</v>
      </c>
      <c r="O38" s="109">
        <f t="shared" si="8"/>
        <v>-2094754.864473987</v>
      </c>
      <c r="P38" s="109">
        <f t="shared" si="8"/>
        <v>-3693638.601777153</v>
      </c>
      <c r="Q38" s="109">
        <f t="shared" si="8"/>
        <v>-5155793.447094703</v>
      </c>
      <c r="R38" s="109">
        <f t="shared" si="8"/>
        <v>-4955890.206723869</v>
      </c>
      <c r="S38" s="132">
        <f t="shared" si="8"/>
        <v>-6057549.984122712</v>
      </c>
    </row>
    <row r="39" spans="1:19" ht="13.5" thickBot="1">
      <c r="A39" s="15"/>
      <c r="B39" s="110" t="s">
        <v>103</v>
      </c>
      <c r="C39" s="111">
        <f aca="true" t="shared" si="9" ref="C39:H39">C37+C38</f>
        <v>18211677.1</v>
      </c>
      <c r="D39" s="111">
        <f>D37+D38</f>
        <v>16007453.01666667</v>
      </c>
      <c r="E39" s="111">
        <f t="shared" si="9"/>
        <v>15213807.850000003</v>
      </c>
      <c r="F39" s="111">
        <f t="shared" si="9"/>
        <v>12720571.64166667</v>
      </c>
      <c r="G39" s="111">
        <f t="shared" si="9"/>
        <v>10200426.960416669</v>
      </c>
      <c r="H39" s="111">
        <f t="shared" si="9"/>
        <v>9230337.615104169</v>
      </c>
      <c r="I39" s="111">
        <f aca="true" t="shared" si="10" ref="I39:S39">I37+I38</f>
        <v>6600427.726692711</v>
      </c>
      <c r="J39" s="111">
        <f t="shared" si="10"/>
        <v>3927496.2871940127</v>
      </c>
      <c r="K39" s="111">
        <f t="shared" si="10"/>
        <v>2944495.39272038</v>
      </c>
      <c r="L39" s="111">
        <f t="shared" si="10"/>
        <v>406930.02558973245</v>
      </c>
      <c r="M39" s="111">
        <f t="shared" si="10"/>
        <v>-1795960.8809174476</v>
      </c>
      <c r="N39" s="111">
        <f t="shared" si="10"/>
        <v>-2094754.864473987</v>
      </c>
      <c r="O39" s="111">
        <f t="shared" si="10"/>
        <v>-3693638.601777153</v>
      </c>
      <c r="P39" s="111">
        <f t="shared" si="10"/>
        <v>-5155793.447094703</v>
      </c>
      <c r="Q39" s="111">
        <f t="shared" si="10"/>
        <v>-4955890.206723869</v>
      </c>
      <c r="R39" s="111">
        <f t="shared" si="10"/>
        <v>-6057549.984122712</v>
      </c>
      <c r="S39" s="133">
        <f t="shared" si="10"/>
        <v>-6097795.683637363</v>
      </c>
    </row>
    <row r="40" spans="1:19" ht="12">
      <c r="A40" s="12"/>
      <c r="B40" s="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24"/>
    </row>
    <row r="41" spans="1:19" ht="12">
      <c r="A41" s="12"/>
      <c r="B41" s="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24"/>
    </row>
    <row r="42" spans="2:19" ht="12">
      <c r="B42" t="s">
        <v>119</v>
      </c>
      <c r="C42" s="145">
        <f>+'BS'!F12*0.75</f>
        <v>12500</v>
      </c>
      <c r="D42" s="145">
        <f>+'BS'!G12*0.75</f>
        <v>1262500</v>
      </c>
      <c r="E42" s="145">
        <f>+'BS'!H12*0.75</f>
        <v>387500</v>
      </c>
      <c r="F42" s="145">
        <f>+'BS'!I12*0.75</f>
        <v>750000</v>
      </c>
      <c r="G42" s="145">
        <f>+'BS'!J12*0.75</f>
        <v>2250000</v>
      </c>
      <c r="H42" s="145">
        <f>+'BS'!K12*0.75</f>
        <v>1625000.0000000002</v>
      </c>
      <c r="I42" s="145">
        <f>+'BS'!L12*0.75</f>
        <v>2012500</v>
      </c>
      <c r="J42" s="145">
        <f>+'BS'!M12*0.75</f>
        <v>3637500</v>
      </c>
      <c r="K42" s="145">
        <f>+'BS'!N12*0.75</f>
        <v>3012500</v>
      </c>
      <c r="L42" s="145">
        <f>+'BS'!O12*0.75</f>
        <v>3750000</v>
      </c>
      <c r="M42" s="145">
        <f>+'BS'!P12*0.75</f>
        <v>5625000</v>
      </c>
      <c r="N42" s="145">
        <f>+'BS'!Q12*0.75</f>
        <v>5250000</v>
      </c>
      <c r="O42" s="145">
        <f>+'BS'!R12*0.75</f>
        <v>5762500</v>
      </c>
      <c r="P42" s="145">
        <f>+'BS'!S12*0.75</f>
        <v>7637500</v>
      </c>
      <c r="Q42" s="145">
        <f>+'BS'!T12*0.75</f>
        <v>7512500.000000001</v>
      </c>
      <c r="R42" s="145">
        <f>+'BS'!U12*0.75</f>
        <v>9000000</v>
      </c>
      <c r="S42" s="172">
        <f>+'BS'!V12*0.75</f>
        <v>11375000</v>
      </c>
    </row>
  </sheetData>
  <sheetProtection/>
  <printOptions/>
  <pageMargins left="0.5" right="0" top="1" bottom="1" header="0.5" footer="0.5"/>
  <pageSetup fitToWidth="2" horizontalDpi="300" verticalDpi="300" orientation="landscape" scale="58" r:id="rId1"/>
  <headerFooter alignWithMargins="0">
    <oddFooter>&amp;L&amp;F&amp;R&amp;D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B1">
      <selection activeCell="H31" sqref="H31"/>
    </sheetView>
  </sheetViews>
  <sheetFormatPr defaultColWidth="9.140625" defaultRowHeight="12.75"/>
  <cols>
    <col min="2" max="2" width="31.7109375" style="0" customWidth="1"/>
    <col min="4" max="12" width="13.7109375" style="0" customWidth="1"/>
  </cols>
  <sheetData>
    <row r="1" spans="1:12" ht="12">
      <c r="A1" s="12"/>
      <c r="B1" s="14"/>
      <c r="C1" s="14"/>
      <c r="D1" s="12"/>
      <c r="E1" s="15"/>
      <c r="F1" s="12"/>
      <c r="G1" s="12"/>
      <c r="H1" s="12"/>
      <c r="I1" s="12"/>
      <c r="J1" s="12"/>
      <c r="K1" s="12"/>
      <c r="L1" s="12"/>
    </row>
    <row r="2" spans="1:12" ht="12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">
      <c r="A3" s="12"/>
      <c r="B3" s="14"/>
      <c r="C3" s="14"/>
      <c r="D3" s="12"/>
      <c r="E3" s="15"/>
      <c r="F3" s="12"/>
      <c r="G3" s="12"/>
      <c r="H3" s="12"/>
      <c r="I3" s="12"/>
      <c r="J3" s="12"/>
      <c r="K3" s="12"/>
      <c r="L3" s="12"/>
    </row>
    <row r="4" spans="1:12" ht="12">
      <c r="A4" s="12"/>
      <c r="B4" s="17" t="s">
        <v>30</v>
      </c>
      <c r="C4" s="18"/>
      <c r="D4" s="12"/>
      <c r="E4" s="15"/>
      <c r="F4" s="12"/>
      <c r="G4" s="12"/>
      <c r="H4" s="12"/>
      <c r="I4" s="12"/>
      <c r="J4" s="12"/>
      <c r="K4" s="12"/>
      <c r="L4" s="12"/>
    </row>
    <row r="5" spans="1:12" ht="12.75" thickBot="1">
      <c r="A5" s="12"/>
      <c r="B5" s="15"/>
      <c r="C5" s="15"/>
      <c r="D5" s="12"/>
      <c r="E5" s="15"/>
      <c r="F5" s="12"/>
      <c r="G5" s="12"/>
      <c r="H5" s="12"/>
      <c r="I5" s="12"/>
      <c r="J5" s="12"/>
      <c r="K5" s="12"/>
      <c r="L5" s="12"/>
    </row>
    <row r="6" spans="1:12" ht="15">
      <c r="A6" s="12"/>
      <c r="B6" s="158" t="s">
        <v>31</v>
      </c>
      <c r="C6" s="21"/>
      <c r="D6" s="113" t="s">
        <v>95</v>
      </c>
      <c r="E6" s="113" t="s">
        <v>96</v>
      </c>
      <c r="F6" s="120" t="s">
        <v>111</v>
      </c>
      <c r="G6" s="120" t="s">
        <v>112</v>
      </c>
      <c r="H6" s="120" t="s">
        <v>113</v>
      </c>
      <c r="I6" s="121" t="s">
        <v>114</v>
      </c>
      <c r="J6" s="121" t="s">
        <v>115</v>
      </c>
      <c r="K6" s="146" t="s">
        <v>120</v>
      </c>
      <c r="L6" s="125" t="s">
        <v>121</v>
      </c>
    </row>
    <row r="7" spans="1:12" ht="12.75">
      <c r="A7" s="12"/>
      <c r="B7" s="22" t="s">
        <v>94</v>
      </c>
      <c r="C7" s="23"/>
      <c r="D7" s="24">
        <f>+Assump!F30</f>
        <v>16666.666666666668</v>
      </c>
      <c r="E7" s="24">
        <f>+Assump!G30</f>
        <v>1683333.3333333333</v>
      </c>
      <c r="F7" s="24">
        <f>+Assump!H30+Assump!I30+Assump!J30</f>
        <v>4516666.666666667</v>
      </c>
      <c r="G7" s="24">
        <f>+Assump!K30+Assump!L30+Assump!M30</f>
        <v>9700000</v>
      </c>
      <c r="H7" s="24">
        <f>+Assump!N30+Assump!O30+Assump!P30</f>
        <v>16516666.666666668</v>
      </c>
      <c r="I7" s="24">
        <f>+Assump!Q30+Assump!R30+Assump!S30</f>
        <v>24866666.666666668</v>
      </c>
      <c r="J7" s="24">
        <f>+Assump!T30+Assump!U30+Assump!V30</f>
        <v>37183333.333333336</v>
      </c>
      <c r="K7" s="147">
        <f>SUM(D7:F7)</f>
        <v>6216666.666666667</v>
      </c>
      <c r="L7" s="25">
        <f>SUM(G7:J7)</f>
        <v>88266666.66666667</v>
      </c>
    </row>
    <row r="8" spans="1:12" ht="12">
      <c r="A8" s="12"/>
      <c r="B8" s="28"/>
      <c r="C8" s="15"/>
      <c r="D8" s="29"/>
      <c r="E8" s="29"/>
      <c r="F8" s="29"/>
      <c r="G8" s="29"/>
      <c r="H8" s="29"/>
      <c r="I8" s="29"/>
      <c r="J8" s="29"/>
      <c r="K8" s="148">
        <f>SUM(D8:F8)</f>
        <v>0</v>
      </c>
      <c r="L8" s="30">
        <f>SUM(G8:J8)</f>
        <v>0</v>
      </c>
    </row>
    <row r="9" spans="1:12" ht="12">
      <c r="A9" s="12"/>
      <c r="B9" s="31" t="s">
        <v>32</v>
      </c>
      <c r="C9" s="32"/>
      <c r="D9" s="24">
        <f>+Assump!F45</f>
        <v>4042.5</v>
      </c>
      <c r="E9" s="24">
        <f>+Assump!G45</f>
        <v>44467.5</v>
      </c>
      <c r="F9" s="24">
        <f>+Assump!H45+Assump!I45+Assump!J45</f>
        <v>764202.3</v>
      </c>
      <c r="G9" s="24">
        <f>+Assump!K45+Assump!L45+Assump!M45</f>
        <v>2479266.15</v>
      </c>
      <c r="H9" s="24">
        <f>+Assump!N45+Assump!O45+Assump!P45</f>
        <v>4975194.3</v>
      </c>
      <c r="I9" s="24">
        <f>+Assump!Q45+Assump!R45+Assump!S45</f>
        <v>8108529.15</v>
      </c>
      <c r="J9" s="24">
        <f>+Assump!T45+Assump!U45+Assump!V45</f>
        <v>12453220.8</v>
      </c>
      <c r="K9" s="147">
        <f>SUM(D9:F9)</f>
        <v>812712.3</v>
      </c>
      <c r="L9" s="25">
        <f>SUM(G9:J9)</f>
        <v>28016210.4</v>
      </c>
    </row>
    <row r="10" spans="1:12" ht="12">
      <c r="A10" s="12"/>
      <c r="B10" s="31"/>
      <c r="C10" s="33"/>
      <c r="D10" s="24"/>
      <c r="E10" s="24"/>
      <c r="F10" s="24"/>
      <c r="G10" s="24"/>
      <c r="H10" s="24"/>
      <c r="I10" s="24"/>
      <c r="J10" s="24"/>
      <c r="K10" s="147"/>
      <c r="L10" s="25"/>
    </row>
    <row r="11" spans="1:12" ht="12">
      <c r="A11" s="12"/>
      <c r="B11" s="31"/>
      <c r="C11" s="32"/>
      <c r="D11" s="24"/>
      <c r="E11" s="24"/>
      <c r="F11" s="24"/>
      <c r="G11" s="24"/>
      <c r="H11" s="24"/>
      <c r="I11" s="24"/>
      <c r="J11" s="24"/>
      <c r="K11" s="147"/>
      <c r="L11" s="25"/>
    </row>
    <row r="12" spans="1:12" ht="12.75">
      <c r="A12" s="12"/>
      <c r="B12" s="34" t="s">
        <v>33</v>
      </c>
      <c r="C12" s="35"/>
      <c r="D12" s="36">
        <f>+D7-D9</f>
        <v>12624.166666666668</v>
      </c>
      <c r="E12" s="36">
        <f aca="true" t="shared" si="0" ref="E12:L12">+E7-E9</f>
        <v>1638865.8333333333</v>
      </c>
      <c r="F12" s="36">
        <f t="shared" si="0"/>
        <v>3752464.366666667</v>
      </c>
      <c r="G12" s="36">
        <f t="shared" si="0"/>
        <v>7220733.85</v>
      </c>
      <c r="H12" s="36">
        <f t="shared" si="0"/>
        <v>11541472.366666667</v>
      </c>
      <c r="I12" s="36">
        <f t="shared" si="0"/>
        <v>16758137.516666668</v>
      </c>
      <c r="J12" s="36">
        <f t="shared" si="0"/>
        <v>24730112.533333335</v>
      </c>
      <c r="K12" s="149">
        <f t="shared" si="0"/>
        <v>5403954.366666667</v>
      </c>
      <c r="L12" s="37">
        <f t="shared" si="0"/>
        <v>60250456.26666667</v>
      </c>
    </row>
    <row r="13" spans="1:12" ht="12">
      <c r="A13" s="12"/>
      <c r="B13" s="28"/>
      <c r="C13" s="15"/>
      <c r="D13" s="38">
        <f aca="true" t="shared" si="1" ref="D13:J13">D12/D7</f>
        <v>0.7574500000000001</v>
      </c>
      <c r="E13" s="38">
        <f t="shared" si="1"/>
        <v>0.9735836633663366</v>
      </c>
      <c r="F13" s="38">
        <f t="shared" si="1"/>
        <v>0.8308039188191882</v>
      </c>
      <c r="G13" s="38">
        <f t="shared" si="1"/>
        <v>0.7444055515463918</v>
      </c>
      <c r="H13" s="38">
        <f t="shared" si="1"/>
        <v>0.6987773380423814</v>
      </c>
      <c r="I13" s="38">
        <f t="shared" si="1"/>
        <v>0.6739197392761395</v>
      </c>
      <c r="J13" s="38">
        <f t="shared" si="1"/>
        <v>0.6650859489018377</v>
      </c>
      <c r="K13" s="150">
        <f>K12/K7</f>
        <v>0.869268798927614</v>
      </c>
      <c r="L13" s="39">
        <f>L12/L7</f>
        <v>0.6825958036253776</v>
      </c>
    </row>
    <row r="14" spans="1:12" ht="12.75">
      <c r="A14" s="12"/>
      <c r="B14" s="22" t="s">
        <v>18</v>
      </c>
      <c r="C14" s="23"/>
      <c r="D14" s="24"/>
      <c r="E14" s="24"/>
      <c r="F14" s="24"/>
      <c r="G14" s="24"/>
      <c r="H14" s="24"/>
      <c r="I14" s="24"/>
      <c r="J14" s="24"/>
      <c r="K14" s="147"/>
      <c r="L14" s="25"/>
    </row>
    <row r="15" spans="1:12" ht="12">
      <c r="A15" s="12"/>
      <c r="B15" s="28"/>
      <c r="C15" s="15"/>
      <c r="D15" s="24"/>
      <c r="E15" s="24"/>
      <c r="F15" s="24"/>
      <c r="G15" s="24"/>
      <c r="H15" s="24"/>
      <c r="I15" s="24"/>
      <c r="J15" s="24"/>
      <c r="K15" s="147"/>
      <c r="L15" s="25"/>
    </row>
    <row r="16" spans="1:12" ht="12">
      <c r="A16" s="12"/>
      <c r="B16" s="28" t="s">
        <v>34</v>
      </c>
      <c r="C16" s="15"/>
      <c r="D16" s="24">
        <f>+Assump!F54</f>
        <v>1334000</v>
      </c>
      <c r="E16" s="24">
        <f>+Assump!G54</f>
        <v>1334000</v>
      </c>
      <c r="F16" s="24">
        <f>+Assump!H54+Assump!I54+Assump!J54</f>
        <v>4534000</v>
      </c>
      <c r="G16" s="24">
        <f>+Assump!K54+Assump!L54+Assump!M54</f>
        <v>5200000</v>
      </c>
      <c r="H16" s="24">
        <f>+Assump!N54+Assump!O54+Assump!P54</f>
        <v>5800000</v>
      </c>
      <c r="I16" s="24">
        <f>+Assump!Q54+Assump!R54+Assump!S54</f>
        <v>6400000</v>
      </c>
      <c r="J16" s="24">
        <f>+Assump!T54+Assump!U54+Assump!V54</f>
        <v>7000000</v>
      </c>
      <c r="K16" s="147">
        <f>SUM(D16:F16)</f>
        <v>7202000</v>
      </c>
      <c r="L16" s="25">
        <f>SUM(G16:J16)</f>
        <v>24400000</v>
      </c>
    </row>
    <row r="17" spans="1:12" ht="12">
      <c r="A17" s="12"/>
      <c r="B17" s="28"/>
      <c r="C17" s="15"/>
      <c r="D17" s="24"/>
      <c r="E17" s="24"/>
      <c r="F17" s="24"/>
      <c r="G17" s="24"/>
      <c r="H17" s="24"/>
      <c r="I17" s="24"/>
      <c r="J17" s="24"/>
      <c r="K17" s="147"/>
      <c r="L17" s="25"/>
    </row>
    <row r="18" spans="1:12" ht="12">
      <c r="A18" s="12"/>
      <c r="B18" s="28" t="s">
        <v>35</v>
      </c>
      <c r="C18" s="15"/>
      <c r="D18" s="24">
        <f>+Assump!F53</f>
        <v>666666</v>
      </c>
      <c r="E18" s="24">
        <f>+Assump!G53</f>
        <v>666666</v>
      </c>
      <c r="F18" s="24">
        <f>+Assump!H53+Assump!I53+Assump!J53</f>
        <v>2266666</v>
      </c>
      <c r="G18" s="24">
        <f>+Assump!K53+Assump!L53+Assump!M53</f>
        <v>2800000</v>
      </c>
      <c r="H18" s="24">
        <f>+Assump!N53+Assump!O53+Assump!P53</f>
        <v>3400000</v>
      </c>
      <c r="I18" s="24">
        <f>+Assump!Q53+Assump!R53+Assump!S53</f>
        <v>4000000</v>
      </c>
      <c r="J18" s="24">
        <f>+Assump!T53+Assump!U53+Assump!V53</f>
        <v>4600000</v>
      </c>
      <c r="K18" s="147">
        <f>SUM(D18:F18)</f>
        <v>3599998</v>
      </c>
      <c r="L18" s="25">
        <f>SUM(G18:J18)</f>
        <v>14800000</v>
      </c>
    </row>
    <row r="19" spans="1:12" ht="12">
      <c r="A19" s="12"/>
      <c r="B19" s="28"/>
      <c r="C19" s="15"/>
      <c r="D19" s="29"/>
      <c r="E19" s="29"/>
      <c r="F19" s="24"/>
      <c r="G19" s="24"/>
      <c r="H19" s="24"/>
      <c r="I19" s="24"/>
      <c r="J19" s="24"/>
      <c r="K19" s="147"/>
      <c r="L19" s="25"/>
    </row>
    <row r="20" spans="1:12" s="123" customFormat="1" ht="12.75">
      <c r="A20" s="26"/>
      <c r="B20" s="22" t="s">
        <v>19</v>
      </c>
      <c r="C20" s="23"/>
      <c r="D20" s="27">
        <f aca="true" t="shared" si="2" ref="D20:L20">+D16+D18</f>
        <v>2000666</v>
      </c>
      <c r="E20" s="27">
        <f t="shared" si="2"/>
        <v>2000666</v>
      </c>
      <c r="F20" s="27">
        <f t="shared" si="2"/>
        <v>6800666</v>
      </c>
      <c r="G20" s="27">
        <f t="shared" si="2"/>
        <v>8000000</v>
      </c>
      <c r="H20" s="27">
        <f t="shared" si="2"/>
        <v>9200000</v>
      </c>
      <c r="I20" s="27">
        <f t="shared" si="2"/>
        <v>10400000</v>
      </c>
      <c r="J20" s="27">
        <f t="shared" si="2"/>
        <v>11600000</v>
      </c>
      <c r="K20" s="151">
        <f t="shared" si="2"/>
        <v>10801998</v>
      </c>
      <c r="L20" s="122">
        <f t="shared" si="2"/>
        <v>39200000</v>
      </c>
    </row>
    <row r="21" spans="1:12" ht="12">
      <c r="A21" s="12"/>
      <c r="B21" s="28"/>
      <c r="C21" s="15"/>
      <c r="D21" s="29"/>
      <c r="E21" s="29"/>
      <c r="F21" s="29"/>
      <c r="G21" s="29"/>
      <c r="H21" s="29"/>
      <c r="I21" s="29"/>
      <c r="J21" s="29"/>
      <c r="K21" s="148"/>
      <c r="L21" s="30"/>
    </row>
    <row r="22" spans="1:12" ht="12.75">
      <c r="A22" s="12"/>
      <c r="B22" s="34" t="s">
        <v>101</v>
      </c>
      <c r="C22" s="35"/>
      <c r="D22" s="36">
        <f>+D12-D20</f>
        <v>-1988041.8333333333</v>
      </c>
      <c r="E22" s="36">
        <f aca="true" t="shared" si="3" ref="E22:L22">+E12-E20</f>
        <v>-361800.16666666674</v>
      </c>
      <c r="F22" s="36">
        <f t="shared" si="3"/>
        <v>-3048201.633333333</v>
      </c>
      <c r="G22" s="36">
        <f t="shared" si="3"/>
        <v>-779266.1500000004</v>
      </c>
      <c r="H22" s="36">
        <f t="shared" si="3"/>
        <v>2341472.366666667</v>
      </c>
      <c r="I22" s="36">
        <f t="shared" si="3"/>
        <v>6358137.516666668</v>
      </c>
      <c r="J22" s="36">
        <f t="shared" si="3"/>
        <v>13130112.533333335</v>
      </c>
      <c r="K22" s="149">
        <f t="shared" si="3"/>
        <v>-5398043.633333333</v>
      </c>
      <c r="L22" s="37">
        <f t="shared" si="3"/>
        <v>21050456.266666673</v>
      </c>
    </row>
    <row r="23" spans="1:12" ht="12.75" thickBot="1">
      <c r="A23" s="12"/>
      <c r="B23" s="41"/>
      <c r="C23" s="42"/>
      <c r="D23" s="43"/>
      <c r="E23" s="43">
        <f aca="true" t="shared" si="4" ref="E23:L23">+E22/E7</f>
        <v>-0.21493079207920798</v>
      </c>
      <c r="F23" s="43">
        <f t="shared" si="4"/>
        <v>-0.6748785904059039</v>
      </c>
      <c r="G23" s="43">
        <f t="shared" si="4"/>
        <v>-0.0803367164948454</v>
      </c>
      <c r="H23" s="43">
        <f t="shared" si="4"/>
        <v>0.1417642199798184</v>
      </c>
      <c r="I23" s="43">
        <f t="shared" si="4"/>
        <v>0.25568917627345844</v>
      </c>
      <c r="J23" s="44">
        <f t="shared" si="4"/>
        <v>0.3531182214253698</v>
      </c>
      <c r="K23" s="43">
        <f t="shared" si="4"/>
        <v>-0.8683180107238605</v>
      </c>
      <c r="L23" s="44">
        <f t="shared" si="4"/>
        <v>0.23848704229607257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2.8515625" style="12" customWidth="1"/>
    <col min="2" max="2" width="50.57421875" style="12" customWidth="1"/>
    <col min="3" max="3" width="1.8515625" style="12" customWidth="1"/>
    <col min="4" max="4" width="10.00390625" style="12" customWidth="1"/>
    <col min="5" max="6" width="13.7109375" style="12" hidden="1" customWidth="1"/>
    <col min="7" max="7" width="16.8515625" style="15" customWidth="1"/>
    <col min="8" max="9" width="14.28125" style="12" hidden="1" customWidth="1"/>
    <col min="10" max="10" width="14.28125" style="12" bestFit="1" customWidth="1"/>
    <col min="11" max="12" width="14.28125" style="12" hidden="1" customWidth="1"/>
    <col min="13" max="13" width="14.28125" style="12" bestFit="1" customWidth="1"/>
    <col min="14" max="15" width="14.28125" style="12" hidden="1" customWidth="1"/>
    <col min="16" max="16" width="14.28125" style="12" bestFit="1" customWidth="1"/>
    <col min="17" max="18" width="14.28125" style="12" hidden="1" customWidth="1"/>
    <col min="19" max="19" width="14.28125" style="12" bestFit="1" customWidth="1"/>
    <col min="20" max="21" width="14.28125" style="12" hidden="1" customWidth="1"/>
    <col min="22" max="22" width="14.28125" style="12" bestFit="1" customWidth="1"/>
    <col min="23" max="16384" width="9.140625" style="12" customWidth="1"/>
  </cols>
  <sheetData>
    <row r="1" ht="12">
      <c r="A1" s="45"/>
    </row>
    <row r="2" spans="1:7" s="48" customFormat="1" ht="22.5" customHeight="1">
      <c r="A2" s="46"/>
      <c r="B2" s="47" t="str">
        <f>'[1]General info'!C6</f>
        <v>Theranos, Inc.</v>
      </c>
      <c r="G2" s="49"/>
    </row>
    <row r="3" ht="12">
      <c r="A3" s="45"/>
    </row>
    <row r="4" ht="12.75">
      <c r="B4" s="50" t="s">
        <v>36</v>
      </c>
    </row>
    <row r="5" ht="12.75" thickBot="1"/>
    <row r="6" spans="2:22" ht="15">
      <c r="B6" s="20" t="s">
        <v>31</v>
      </c>
      <c r="C6" s="51"/>
      <c r="D6" s="51"/>
      <c r="E6" s="113" t="s">
        <v>104</v>
      </c>
      <c r="F6" s="113" t="s">
        <v>95</v>
      </c>
      <c r="G6" s="113" t="s">
        <v>96</v>
      </c>
      <c r="H6" s="113" t="s">
        <v>97</v>
      </c>
      <c r="I6" s="113" t="s">
        <v>98</v>
      </c>
      <c r="J6" s="113" t="s">
        <v>99</v>
      </c>
      <c r="K6" s="114">
        <v>39478</v>
      </c>
      <c r="L6" s="114">
        <v>39506</v>
      </c>
      <c r="M6" s="114">
        <v>39538</v>
      </c>
      <c r="N6" s="114">
        <v>39568</v>
      </c>
      <c r="O6" s="114">
        <v>39599</v>
      </c>
      <c r="P6" s="114">
        <v>39629</v>
      </c>
      <c r="Q6" s="114">
        <v>39660</v>
      </c>
      <c r="R6" s="114">
        <v>39691</v>
      </c>
      <c r="S6" s="114">
        <v>39721</v>
      </c>
      <c r="T6" s="114">
        <v>39752</v>
      </c>
      <c r="U6" s="114">
        <v>39782</v>
      </c>
      <c r="V6" s="116">
        <v>39813</v>
      </c>
    </row>
    <row r="7" spans="2:22" ht="13.5">
      <c r="B7" s="52" t="s">
        <v>37</v>
      </c>
      <c r="C7" s="53"/>
      <c r="D7" s="53"/>
      <c r="E7" s="54"/>
      <c r="F7" s="54"/>
      <c r="G7" s="5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34"/>
    </row>
    <row r="8" spans="2:22" ht="12">
      <c r="B8" s="55" t="s">
        <v>38</v>
      </c>
      <c r="C8" s="56"/>
      <c r="D8" s="56"/>
      <c r="E8" s="57">
        <f>+'BS'!E8</f>
        <v>21000000</v>
      </c>
      <c r="F8" s="57">
        <f>+'BS'!F8</f>
        <v>18211677.1</v>
      </c>
      <c r="G8" s="57">
        <f>+'BS'!G8</f>
        <v>16007453.01666667</v>
      </c>
      <c r="H8" s="57">
        <f>+'BS'!H8</f>
        <v>15213807.850000003</v>
      </c>
      <c r="I8" s="57">
        <f>+'BS'!I8</f>
        <v>12720571.64166667</v>
      </c>
      <c r="J8" s="57">
        <f>+'BS'!J8</f>
        <v>10200426.960416669</v>
      </c>
      <c r="K8" s="57">
        <f>+'BS'!K8</f>
        <v>9230337.615104169</v>
      </c>
      <c r="L8" s="57">
        <f>+'BS'!L8</f>
        <v>6600427.726692711</v>
      </c>
      <c r="M8" s="57">
        <f>+'BS'!M8</f>
        <v>3927496.2871940127</v>
      </c>
      <c r="N8" s="57">
        <f>+'BS'!N8</f>
        <v>2944495.39272038</v>
      </c>
      <c r="O8" s="57">
        <f>+'BS'!O8</f>
        <v>406930.02558973245</v>
      </c>
      <c r="P8" s="57">
        <f>+'BS'!P8</f>
        <v>-1795960.8809174476</v>
      </c>
      <c r="Q8" s="57">
        <f>+'BS'!Q8</f>
        <v>-2094754.864473987</v>
      </c>
      <c r="R8" s="57">
        <f>+'BS'!R8</f>
        <v>-3693638.601777153</v>
      </c>
      <c r="S8" s="57">
        <f>+'BS'!S8</f>
        <v>-5155793.447094703</v>
      </c>
      <c r="T8" s="57">
        <f>+'BS'!T8</f>
        <v>-4955890.206723869</v>
      </c>
      <c r="U8" s="57">
        <f>+'BS'!U8</f>
        <v>-6057549.984122712</v>
      </c>
      <c r="V8" s="135">
        <f>+'BS'!V8</f>
        <v>-6097795.683637363</v>
      </c>
    </row>
    <row r="9" spans="2:22" ht="12">
      <c r="B9" s="55" t="s">
        <v>39</v>
      </c>
      <c r="C9" s="58"/>
      <c r="D9" s="58"/>
      <c r="E9" s="59">
        <f>+'BS'!E9</f>
        <v>0</v>
      </c>
      <c r="F9" s="59">
        <f>+'BS'!F9</f>
        <v>0</v>
      </c>
      <c r="G9" s="59">
        <f>+'BS'!G9</f>
        <v>0</v>
      </c>
      <c r="H9" s="59">
        <f>+'BS'!H9</f>
        <v>0</v>
      </c>
      <c r="I9" s="59">
        <f>+'BS'!I9</f>
        <v>0</v>
      </c>
      <c r="J9" s="59">
        <f>+'BS'!J9</f>
        <v>0</v>
      </c>
      <c r="K9" s="59">
        <f>+'BS'!K9</f>
        <v>0</v>
      </c>
      <c r="L9" s="59">
        <f>+'BS'!L9</f>
        <v>0</v>
      </c>
      <c r="M9" s="59">
        <f>+'BS'!M9</f>
        <v>0</v>
      </c>
      <c r="N9" s="59">
        <f>+'BS'!N9</f>
        <v>0</v>
      </c>
      <c r="O9" s="59">
        <f>+'BS'!O9</f>
        <v>0</v>
      </c>
      <c r="P9" s="59">
        <f>+'BS'!P9</f>
        <v>0</v>
      </c>
      <c r="Q9" s="59">
        <f>+'BS'!Q9</f>
        <v>0</v>
      </c>
      <c r="R9" s="59">
        <f>+'BS'!R9</f>
        <v>0</v>
      </c>
      <c r="S9" s="59">
        <f>+'BS'!S9</f>
        <v>0</v>
      </c>
      <c r="T9" s="59">
        <f>+'BS'!T9</f>
        <v>0</v>
      </c>
      <c r="U9" s="59">
        <f>+'BS'!U9</f>
        <v>0</v>
      </c>
      <c r="V9" s="136">
        <f>+'BS'!V9</f>
        <v>0</v>
      </c>
    </row>
    <row r="10" spans="2:22" ht="12">
      <c r="B10" s="55" t="s">
        <v>110</v>
      </c>
      <c r="C10" s="58"/>
      <c r="D10" s="58"/>
      <c r="E10" s="59">
        <f>+'BS'!E10</f>
        <v>3000</v>
      </c>
      <c r="F10" s="59">
        <f>+'BS'!F10</f>
        <v>33000</v>
      </c>
      <c r="G10" s="59">
        <f>+'BS'!G10</f>
        <v>93000</v>
      </c>
      <c r="H10" s="59">
        <f>+'BS'!H10</f>
        <v>180000</v>
      </c>
      <c r="I10" s="59">
        <f>+'BS'!I10</f>
        <v>270000</v>
      </c>
      <c r="J10" s="59">
        <f>+'BS'!J10</f>
        <v>390000</v>
      </c>
      <c r="K10" s="59">
        <f>+'BS'!K10</f>
        <v>483000</v>
      </c>
      <c r="L10" s="59">
        <f>+'BS'!L10</f>
        <v>603000</v>
      </c>
      <c r="M10" s="59">
        <f>+'BS'!M10</f>
        <v>723000</v>
      </c>
      <c r="N10" s="59">
        <f>+'BS'!N10</f>
        <v>900000</v>
      </c>
      <c r="O10" s="59">
        <f>+'BS'!O10</f>
        <v>1080000</v>
      </c>
      <c r="P10" s="59">
        <f>+'BS'!P10</f>
        <v>1260000</v>
      </c>
      <c r="Q10" s="59">
        <f>+'BS'!Q10</f>
        <v>1383000</v>
      </c>
      <c r="R10" s="59">
        <f>+'BS'!R10</f>
        <v>1563000</v>
      </c>
      <c r="S10" s="59">
        <f>+'BS'!S10</f>
        <v>1803000</v>
      </c>
      <c r="T10" s="59">
        <f>+'BS'!T10</f>
        <v>2160000</v>
      </c>
      <c r="U10" s="59">
        <f>+'BS'!U10</f>
        <v>2460000</v>
      </c>
      <c r="V10" s="136">
        <f>+'BS'!V10</f>
        <v>2460000</v>
      </c>
    </row>
    <row r="11" spans="2:22" ht="12">
      <c r="B11" s="55" t="s">
        <v>106</v>
      </c>
      <c r="C11" s="58"/>
      <c r="D11" s="58"/>
      <c r="E11" s="59">
        <f>+'BS'!E11</f>
        <v>0</v>
      </c>
      <c r="F11" s="59">
        <f>+'BS'!F11</f>
        <v>23957.5</v>
      </c>
      <c r="G11" s="59">
        <f>+'BS'!G11</f>
        <v>262490</v>
      </c>
      <c r="H11" s="59">
        <f>+'BS'!H11</f>
        <v>730172.5</v>
      </c>
      <c r="I11" s="59">
        <f>+'BS'!I11</f>
        <v>1416580</v>
      </c>
      <c r="J11" s="59">
        <f>+'BS'!J11</f>
        <v>2311287.5</v>
      </c>
      <c r="K11" s="59">
        <f>+'BS'!K11</f>
        <v>3643445</v>
      </c>
      <c r="L11" s="59">
        <f>+'BS'!L11</f>
        <v>4913052.5</v>
      </c>
      <c r="M11" s="59">
        <f>+'BS'!M11</f>
        <v>6359685</v>
      </c>
      <c r="N11" s="59">
        <f>+'BS'!N11</f>
        <v>7972917.5</v>
      </c>
      <c r="O11" s="59">
        <f>+'BS'!O11</f>
        <v>9742325</v>
      </c>
      <c r="P11" s="59">
        <f>+'BS'!P11</f>
        <v>11657482.5</v>
      </c>
      <c r="Q11" s="59">
        <f>+'BS'!Q11</f>
        <v>13468390</v>
      </c>
      <c r="R11" s="59">
        <f>+'BS'!R11</f>
        <v>15175047.5</v>
      </c>
      <c r="S11" s="59">
        <f>+'BS'!S11</f>
        <v>17256605</v>
      </c>
      <c r="T11" s="59">
        <f>+'BS'!T11</f>
        <v>19692212.5</v>
      </c>
      <c r="U11" s="59">
        <f>+'BS'!U11</f>
        <v>22461020</v>
      </c>
      <c r="V11" s="136">
        <f>+'BS'!V11</f>
        <v>25063027.5</v>
      </c>
    </row>
    <row r="12" spans="2:22" ht="12">
      <c r="B12" s="55" t="s">
        <v>40</v>
      </c>
      <c r="C12" s="58"/>
      <c r="D12" s="58"/>
      <c r="E12" s="59">
        <f>+'BS'!E12</f>
        <v>0</v>
      </c>
      <c r="F12" s="59">
        <f>+'BS'!F12</f>
        <v>16666.666666666668</v>
      </c>
      <c r="G12" s="59">
        <f>+'BS'!G12</f>
        <v>1683333.3333333333</v>
      </c>
      <c r="H12" s="59">
        <f>+'BS'!H12</f>
        <v>516666.6666666667</v>
      </c>
      <c r="I12" s="59">
        <f>+'BS'!I12</f>
        <v>1000000</v>
      </c>
      <c r="J12" s="59">
        <f>+'BS'!J12</f>
        <v>3000000</v>
      </c>
      <c r="K12" s="59">
        <f>+'BS'!K12</f>
        <v>2166666.666666667</v>
      </c>
      <c r="L12" s="59">
        <f>+'BS'!L12</f>
        <v>2683333.3333333335</v>
      </c>
      <c r="M12" s="59">
        <f>+'BS'!M12</f>
        <v>4850000</v>
      </c>
      <c r="N12" s="59">
        <f>+'BS'!N12</f>
        <v>4016666.666666667</v>
      </c>
      <c r="O12" s="59">
        <f>+'BS'!O12</f>
        <v>5000000</v>
      </c>
      <c r="P12" s="59">
        <f>+'BS'!P12</f>
        <v>7500000</v>
      </c>
      <c r="Q12" s="59">
        <f>+'BS'!Q12</f>
        <v>7000000</v>
      </c>
      <c r="R12" s="59">
        <f>+'BS'!R12</f>
        <v>7683333.333333334</v>
      </c>
      <c r="S12" s="59">
        <f>+'BS'!S12</f>
        <v>10183333.333333334</v>
      </c>
      <c r="T12" s="59">
        <f>+'BS'!T12</f>
        <v>10016666.666666668</v>
      </c>
      <c r="U12" s="59">
        <f>+'BS'!U12</f>
        <v>12000000</v>
      </c>
      <c r="V12" s="136">
        <f>+'BS'!V12</f>
        <v>15166666.666666668</v>
      </c>
    </row>
    <row r="13" spans="2:22" ht="12">
      <c r="B13" s="55" t="s">
        <v>41</v>
      </c>
      <c r="C13" s="58"/>
      <c r="D13" s="58"/>
      <c r="E13" s="59">
        <f>+'BS'!E13</f>
        <v>370000</v>
      </c>
      <c r="F13" s="59">
        <f>+'BS'!F13</f>
        <v>400000</v>
      </c>
      <c r="G13" s="59">
        <f>+'BS'!G13</f>
        <v>480000</v>
      </c>
      <c r="H13" s="59">
        <f>+'BS'!H13</f>
        <v>576000</v>
      </c>
      <c r="I13" s="59">
        <f>+'BS'!I13</f>
        <v>691200</v>
      </c>
      <c r="J13" s="59">
        <f>+'BS'!J13</f>
        <v>829440</v>
      </c>
      <c r="K13" s="59">
        <f>+'BS'!K13</f>
        <v>995328</v>
      </c>
      <c r="L13" s="59">
        <f>+'BS'!L13</f>
        <v>1194393.5999999999</v>
      </c>
      <c r="M13" s="59">
        <f>+'BS'!M13</f>
        <v>1433272.3199999998</v>
      </c>
      <c r="N13" s="59">
        <f>+'BS'!N13</f>
        <v>1719926.7839999998</v>
      </c>
      <c r="O13" s="59">
        <f>+'BS'!O13</f>
        <v>2063912.1407999997</v>
      </c>
      <c r="P13" s="59">
        <f>+'BS'!P13</f>
        <v>2476694.5689599994</v>
      </c>
      <c r="Q13" s="59">
        <f>+'BS'!Q13</f>
        <v>2972033.482751999</v>
      </c>
      <c r="R13" s="59">
        <f>+'BS'!R13</f>
        <v>3566440.1793023986</v>
      </c>
      <c r="S13" s="59">
        <f>+'BS'!S13</f>
        <v>4279728.215162878</v>
      </c>
      <c r="T13" s="59">
        <f>+'BS'!T13</f>
        <v>5135673.858195453</v>
      </c>
      <c r="U13" s="59">
        <f>+'BS'!U13</f>
        <v>6162808.629834543</v>
      </c>
      <c r="V13" s="136">
        <f>+'BS'!V13</f>
        <v>7395370.355801451</v>
      </c>
    </row>
    <row r="14" spans="2:22" ht="12.75">
      <c r="B14" s="60" t="s">
        <v>42</v>
      </c>
      <c r="C14" s="61"/>
      <c r="D14" s="61"/>
      <c r="E14" s="62">
        <f>+'BS'!E14</f>
        <v>21373000</v>
      </c>
      <c r="F14" s="62">
        <f>+'BS'!F14</f>
        <v>18685301.26666667</v>
      </c>
      <c r="G14" s="62">
        <f>+'BS'!G14</f>
        <v>18526276.35</v>
      </c>
      <c r="H14" s="62">
        <f>+'BS'!H14</f>
        <v>17216647.01666667</v>
      </c>
      <c r="I14" s="62">
        <f>+'BS'!I14</f>
        <v>16098351.64166667</v>
      </c>
      <c r="J14" s="62">
        <f>+'BS'!J14</f>
        <v>16731154.460416669</v>
      </c>
      <c r="K14" s="62">
        <f>+'BS'!K14</f>
        <v>16518777.281770837</v>
      </c>
      <c r="L14" s="62">
        <f>+'BS'!L14</f>
        <v>15994207.160026044</v>
      </c>
      <c r="M14" s="62">
        <f>+'BS'!M14</f>
        <v>17293453.607194014</v>
      </c>
      <c r="N14" s="62">
        <f>+'BS'!N14</f>
        <v>17554006.343387045</v>
      </c>
      <c r="O14" s="62">
        <f>+'BS'!O14</f>
        <v>18293167.166389734</v>
      </c>
      <c r="P14" s="62">
        <f>+'BS'!P14</f>
        <v>21098216.18804255</v>
      </c>
      <c r="Q14" s="62">
        <f>+'BS'!Q14</f>
        <v>22728668.61827801</v>
      </c>
      <c r="R14" s="62">
        <f>+'BS'!R14</f>
        <v>24294182.41085858</v>
      </c>
      <c r="S14" s="62">
        <f>+'BS'!S14</f>
        <v>28366873.101401508</v>
      </c>
      <c r="T14" s="62">
        <f>+'BS'!T14</f>
        <v>32048662.818138253</v>
      </c>
      <c r="U14" s="62">
        <f>+'BS'!U14</f>
        <v>37026278.64571183</v>
      </c>
      <c r="V14" s="127">
        <f>+'BS'!V14</f>
        <v>43987268.838830754</v>
      </c>
    </row>
    <row r="15" spans="2:22" ht="12">
      <c r="B15" s="63"/>
      <c r="C15" s="64"/>
      <c r="D15" s="64"/>
      <c r="E15" s="59">
        <f>+'BS'!E15</f>
        <v>0</v>
      </c>
      <c r="F15" s="59">
        <f>+'BS'!F15</f>
        <v>0</v>
      </c>
      <c r="G15" s="59">
        <f>+'BS'!G15</f>
        <v>0</v>
      </c>
      <c r="H15" s="59">
        <f>+'BS'!H15</f>
        <v>0</v>
      </c>
      <c r="I15" s="59">
        <f>+'BS'!I15</f>
        <v>0</v>
      </c>
      <c r="J15" s="59">
        <f>+'BS'!J15</f>
        <v>0</v>
      </c>
      <c r="K15" s="59">
        <f>+'BS'!K15</f>
        <v>0</v>
      </c>
      <c r="L15" s="59">
        <f>+'BS'!L15</f>
        <v>0</v>
      </c>
      <c r="M15" s="59">
        <f>+'BS'!M15</f>
        <v>0</v>
      </c>
      <c r="N15" s="59">
        <f>+'BS'!N15</f>
        <v>0</v>
      </c>
      <c r="O15" s="59">
        <f>+'BS'!O15</f>
        <v>0</v>
      </c>
      <c r="P15" s="59">
        <f>+'BS'!P15</f>
        <v>0</v>
      </c>
      <c r="Q15" s="59">
        <f>+'BS'!Q15</f>
        <v>0</v>
      </c>
      <c r="R15" s="59">
        <f>+'BS'!R15</f>
        <v>0</v>
      </c>
      <c r="S15" s="59">
        <f>+'BS'!S15</f>
        <v>0</v>
      </c>
      <c r="T15" s="59">
        <f>+'BS'!T15</f>
        <v>0</v>
      </c>
      <c r="U15" s="59">
        <f>+'BS'!U15</f>
        <v>0</v>
      </c>
      <c r="V15" s="136">
        <f>+'BS'!V15</f>
        <v>0</v>
      </c>
    </row>
    <row r="16" spans="2:22" ht="12" hidden="1">
      <c r="B16" s="63" t="s">
        <v>43</v>
      </c>
      <c r="C16" s="64"/>
      <c r="D16" s="64"/>
      <c r="E16" s="59">
        <f>+'BS'!E16</f>
        <v>0</v>
      </c>
      <c r="F16" s="59">
        <f>+'BS'!F16</f>
        <v>0</v>
      </c>
      <c r="G16" s="59">
        <f>+'BS'!G16</f>
        <v>0</v>
      </c>
      <c r="H16" s="59">
        <f>+'BS'!H16</f>
        <v>0</v>
      </c>
      <c r="I16" s="59">
        <f>+'BS'!I16</f>
        <v>0</v>
      </c>
      <c r="J16" s="59">
        <f>+'BS'!J16</f>
        <v>0</v>
      </c>
      <c r="K16" s="59">
        <f>+'BS'!K16</f>
        <v>0</v>
      </c>
      <c r="L16" s="59">
        <f>+'BS'!L16</f>
        <v>0</v>
      </c>
      <c r="M16" s="59">
        <f>+'BS'!M16</f>
        <v>0</v>
      </c>
      <c r="N16" s="59">
        <f>+'BS'!N16</f>
        <v>0</v>
      </c>
      <c r="O16" s="59">
        <f>+'BS'!O16</f>
        <v>0</v>
      </c>
      <c r="P16" s="59">
        <f>+'BS'!P16</f>
        <v>0</v>
      </c>
      <c r="Q16" s="59">
        <f>+'BS'!Q16</f>
        <v>0</v>
      </c>
      <c r="R16" s="59">
        <f>+'BS'!R16</f>
        <v>0</v>
      </c>
      <c r="S16" s="59">
        <f>+'BS'!S16</f>
        <v>0</v>
      </c>
      <c r="T16" s="59">
        <f>+'BS'!T16</f>
        <v>0</v>
      </c>
      <c r="U16" s="59">
        <f>+'BS'!U16</f>
        <v>0</v>
      </c>
      <c r="V16" s="136">
        <f>+'BS'!V16</f>
        <v>0</v>
      </c>
    </row>
    <row r="17" spans="2:22" ht="12" hidden="1">
      <c r="B17" s="63" t="s">
        <v>44</v>
      </c>
      <c r="C17" s="64"/>
      <c r="D17" s="64"/>
      <c r="E17" s="59">
        <f>+'BS'!E17</f>
        <v>0</v>
      </c>
      <c r="F17" s="59">
        <f>+'BS'!F17</f>
        <v>0</v>
      </c>
      <c r="G17" s="59">
        <f>+'BS'!G17</f>
        <v>0</v>
      </c>
      <c r="H17" s="59">
        <f>+'BS'!H17</f>
        <v>0</v>
      </c>
      <c r="I17" s="59">
        <f>+'BS'!I17</f>
        <v>0</v>
      </c>
      <c r="J17" s="59">
        <f>+'BS'!J17</f>
        <v>0</v>
      </c>
      <c r="K17" s="59">
        <f>+'BS'!K17</f>
        <v>0</v>
      </c>
      <c r="L17" s="59">
        <f>+'BS'!L17</f>
        <v>0</v>
      </c>
      <c r="M17" s="59">
        <f>+'BS'!M17</f>
        <v>0</v>
      </c>
      <c r="N17" s="59">
        <f>+'BS'!N17</f>
        <v>0</v>
      </c>
      <c r="O17" s="59">
        <f>+'BS'!O17</f>
        <v>0</v>
      </c>
      <c r="P17" s="59">
        <f>+'BS'!P17</f>
        <v>0</v>
      </c>
      <c r="Q17" s="59">
        <f>+'BS'!Q17</f>
        <v>0</v>
      </c>
      <c r="R17" s="59">
        <f>+'BS'!R17</f>
        <v>0</v>
      </c>
      <c r="S17" s="59">
        <f>+'BS'!S17</f>
        <v>0</v>
      </c>
      <c r="T17" s="59">
        <f>+'BS'!T17</f>
        <v>0</v>
      </c>
      <c r="U17" s="59">
        <f>+'BS'!U17</f>
        <v>0</v>
      </c>
      <c r="V17" s="136">
        <f>+'BS'!V17</f>
        <v>0</v>
      </c>
    </row>
    <row r="18" spans="2:22" ht="12">
      <c r="B18" s="55" t="s">
        <v>45</v>
      </c>
      <c r="C18" s="58"/>
      <c r="D18" s="58"/>
      <c r="E18" s="59">
        <f>+'BS'!E18</f>
        <v>2500000</v>
      </c>
      <c r="F18" s="59">
        <f>+'BS'!F18</f>
        <v>2625000</v>
      </c>
      <c r="G18" s="59">
        <f>+'BS'!G18</f>
        <v>2756250</v>
      </c>
      <c r="H18" s="59">
        <f>+'BS'!H18</f>
        <v>2894062.5</v>
      </c>
      <c r="I18" s="59">
        <f>+'BS'!I18</f>
        <v>3038765.625</v>
      </c>
      <c r="J18" s="59">
        <f>+'BS'!J18</f>
        <v>3190703.90625</v>
      </c>
      <c r="K18" s="59">
        <f>+'BS'!K18</f>
        <v>3350239.1015625</v>
      </c>
      <c r="L18" s="59">
        <f>+'BS'!L18</f>
        <v>3517751.056640625</v>
      </c>
      <c r="M18" s="59">
        <f>+'BS'!M18</f>
        <v>3693638.6094726566</v>
      </c>
      <c r="N18" s="59">
        <f>+'BS'!N18</f>
        <v>3878320.5399462897</v>
      </c>
      <c r="O18" s="59">
        <f>+'BS'!O18</f>
        <v>4072236.5669436045</v>
      </c>
      <c r="P18" s="59">
        <f>+'BS'!P18</f>
        <v>4275848.395290785</v>
      </c>
      <c r="Q18" s="59">
        <f>+'BS'!Q18</f>
        <v>4489640.815055324</v>
      </c>
      <c r="R18" s="59">
        <f>+'BS'!R18</f>
        <v>4714122.85580809</v>
      </c>
      <c r="S18" s="59">
        <f>+'BS'!S18</f>
        <v>4949828.9985984955</v>
      </c>
      <c r="T18" s="59">
        <f>+'BS'!T18</f>
        <v>5197320.44852842</v>
      </c>
      <c r="U18" s="59">
        <f>+'BS'!U18</f>
        <v>5457186.470954841</v>
      </c>
      <c r="V18" s="136">
        <f>+'BS'!V18</f>
        <v>5730045.794502583</v>
      </c>
    </row>
    <row r="19" spans="2:22" ht="12">
      <c r="B19" s="55" t="s">
        <v>46</v>
      </c>
      <c r="C19" s="58"/>
      <c r="D19" s="58"/>
      <c r="E19" s="59">
        <f>+'BS'!E19</f>
        <v>130914</v>
      </c>
      <c r="F19" s="59">
        <f>+'BS'!F19</f>
        <v>100704</v>
      </c>
      <c r="G19" s="59">
        <f>+'BS'!G19</f>
        <v>119012</v>
      </c>
      <c r="H19" s="59">
        <f>+'BS'!H19</f>
        <v>119012</v>
      </c>
      <c r="I19" s="59">
        <f>+'BS'!I19</f>
        <v>119012</v>
      </c>
      <c r="J19" s="59">
        <f>+'BS'!J19</f>
        <v>119012</v>
      </c>
      <c r="K19" s="59">
        <f>+'BS'!K19</f>
        <v>119012</v>
      </c>
      <c r="L19" s="59">
        <f>+'BS'!L19</f>
        <v>119012</v>
      </c>
      <c r="M19" s="59">
        <f>+'BS'!M19</f>
        <v>119012</v>
      </c>
      <c r="N19" s="59">
        <f>+'BS'!N19</f>
        <v>119012</v>
      </c>
      <c r="O19" s="59">
        <f>+'BS'!O19</f>
        <v>119012</v>
      </c>
      <c r="P19" s="59">
        <f>+'BS'!P19</f>
        <v>119012</v>
      </c>
      <c r="Q19" s="59">
        <f>+'BS'!Q19</f>
        <v>119012</v>
      </c>
      <c r="R19" s="59">
        <f>+'BS'!R19</f>
        <v>119012</v>
      </c>
      <c r="S19" s="59">
        <f>+'BS'!S19</f>
        <v>119012</v>
      </c>
      <c r="T19" s="59">
        <f>+'BS'!T19</f>
        <v>119012</v>
      </c>
      <c r="U19" s="59">
        <f>+'BS'!U19</f>
        <v>119012</v>
      </c>
      <c r="V19" s="136">
        <f>+'BS'!V19</f>
        <v>119012</v>
      </c>
    </row>
    <row r="20" spans="2:22" ht="12.75" customHeight="1">
      <c r="B20" s="60" t="s">
        <v>47</v>
      </c>
      <c r="C20" s="61"/>
      <c r="D20" s="61"/>
      <c r="E20" s="62">
        <f>+'BS'!E20</f>
        <v>24003914</v>
      </c>
      <c r="F20" s="62">
        <f>+'BS'!F20</f>
        <v>21411005.26666667</v>
      </c>
      <c r="G20" s="62">
        <f>+'BS'!G20</f>
        <v>21401538.35</v>
      </c>
      <c r="H20" s="62">
        <f>+'BS'!H20</f>
        <v>20229721.51666667</v>
      </c>
      <c r="I20" s="62">
        <f>+'BS'!I20</f>
        <v>19256129.26666667</v>
      </c>
      <c r="J20" s="62">
        <f>+'BS'!J20</f>
        <v>20040870.366666667</v>
      </c>
      <c r="K20" s="62">
        <f>+'BS'!K20</f>
        <v>19988028.383333337</v>
      </c>
      <c r="L20" s="62">
        <f>+'BS'!L20</f>
        <v>19630970.21666667</v>
      </c>
      <c r="M20" s="62">
        <f>+'BS'!M20</f>
        <v>21106104.21666667</v>
      </c>
      <c r="N20" s="62">
        <f>+'BS'!N20</f>
        <v>21551338.883333333</v>
      </c>
      <c r="O20" s="62">
        <f>+'BS'!O20</f>
        <v>22484415.733333338</v>
      </c>
      <c r="P20" s="62">
        <f>+'BS'!P20</f>
        <v>25493076.583333336</v>
      </c>
      <c r="Q20" s="62">
        <f>+'BS'!Q20</f>
        <v>27337321.433333337</v>
      </c>
      <c r="R20" s="62">
        <f>+'BS'!R20</f>
        <v>29127317.26666667</v>
      </c>
      <c r="S20" s="62">
        <f>+'BS'!S20</f>
        <v>33435714.1</v>
      </c>
      <c r="T20" s="62">
        <f>+'BS'!T20</f>
        <v>37364995.26666667</v>
      </c>
      <c r="U20" s="62">
        <f>+'BS'!U20</f>
        <v>42602477.116666675</v>
      </c>
      <c r="V20" s="127">
        <f>+'BS'!V20</f>
        <v>49836326.63333334</v>
      </c>
    </row>
    <row r="21" spans="2:22" ht="13.5">
      <c r="B21" s="65"/>
      <c r="C21" s="54"/>
      <c r="D21" s="54"/>
      <c r="E21" s="66">
        <f>+'BS'!E21</f>
        <v>0</v>
      </c>
      <c r="F21" s="66">
        <f>+'BS'!F21</f>
        <v>0</v>
      </c>
      <c r="G21" s="66">
        <f>+'BS'!G21</f>
        <v>0</v>
      </c>
      <c r="H21" s="66">
        <f>+'BS'!H21</f>
        <v>0</v>
      </c>
      <c r="I21" s="66">
        <f>+'BS'!I21</f>
        <v>0</v>
      </c>
      <c r="J21" s="66">
        <f>+'BS'!J21</f>
        <v>0</v>
      </c>
      <c r="K21" s="66">
        <f>+'BS'!K21</f>
        <v>0</v>
      </c>
      <c r="L21" s="66">
        <f>+'BS'!L21</f>
        <v>0</v>
      </c>
      <c r="M21" s="66">
        <f>+'BS'!M21</f>
        <v>0</v>
      </c>
      <c r="N21" s="66">
        <f>+'BS'!N21</f>
        <v>0</v>
      </c>
      <c r="O21" s="66">
        <f>+'BS'!O21</f>
        <v>0</v>
      </c>
      <c r="P21" s="66">
        <f>+'BS'!P21</f>
        <v>0</v>
      </c>
      <c r="Q21" s="66">
        <f>+'BS'!Q21</f>
        <v>0</v>
      </c>
      <c r="R21" s="66">
        <f>+'BS'!R21</f>
        <v>0</v>
      </c>
      <c r="S21" s="66">
        <f>+'BS'!S21</f>
        <v>0</v>
      </c>
      <c r="T21" s="66">
        <f>+'BS'!T21</f>
        <v>0</v>
      </c>
      <c r="U21" s="66">
        <f>+'BS'!U21</f>
        <v>0</v>
      </c>
      <c r="V21" s="141">
        <f>+'BS'!V21</f>
        <v>0</v>
      </c>
    </row>
    <row r="22" spans="2:22" ht="13.5">
      <c r="B22" s="52" t="s">
        <v>48</v>
      </c>
      <c r="C22" s="67"/>
      <c r="D22" s="67"/>
      <c r="E22" s="68">
        <f>+'BS'!E22</f>
        <v>0</v>
      </c>
      <c r="F22" s="68">
        <f>+'BS'!F22</f>
        <v>0</v>
      </c>
      <c r="G22" s="68">
        <f>+'BS'!G22</f>
        <v>0</v>
      </c>
      <c r="H22" s="68">
        <f>+'BS'!H22</f>
        <v>0</v>
      </c>
      <c r="I22" s="68">
        <f>+'BS'!I22</f>
        <v>0</v>
      </c>
      <c r="J22" s="68">
        <f>+'BS'!J22</f>
        <v>0</v>
      </c>
      <c r="K22" s="68">
        <f>+'BS'!K22</f>
        <v>0</v>
      </c>
      <c r="L22" s="68">
        <f>+'BS'!L22</f>
        <v>0</v>
      </c>
      <c r="M22" s="68">
        <f>+'BS'!M22</f>
        <v>0</v>
      </c>
      <c r="N22" s="68">
        <f>+'BS'!N22</f>
        <v>0</v>
      </c>
      <c r="O22" s="68">
        <f>+'BS'!O22</f>
        <v>0</v>
      </c>
      <c r="P22" s="68">
        <f>+'BS'!P22</f>
        <v>0</v>
      </c>
      <c r="Q22" s="68">
        <f>+'BS'!Q22</f>
        <v>0</v>
      </c>
      <c r="R22" s="68">
        <f>+'BS'!R22</f>
        <v>0</v>
      </c>
      <c r="S22" s="68">
        <f>+'BS'!S22</f>
        <v>0</v>
      </c>
      <c r="T22" s="68">
        <f>+'BS'!T22</f>
        <v>0</v>
      </c>
      <c r="U22" s="68">
        <f>+'BS'!U22</f>
        <v>0</v>
      </c>
      <c r="V22" s="139">
        <f>+'BS'!V22</f>
        <v>0</v>
      </c>
    </row>
    <row r="23" spans="2:22" ht="12">
      <c r="B23" s="55" t="s">
        <v>49</v>
      </c>
      <c r="C23" s="70"/>
      <c r="D23" s="70"/>
      <c r="E23" s="59">
        <f>+'BS'!E23</f>
        <v>600000</v>
      </c>
      <c r="F23" s="59">
        <f>+'BS'!F23</f>
        <v>995066.5</v>
      </c>
      <c r="G23" s="59">
        <f>+'BS'!G23</f>
        <v>1347399.75</v>
      </c>
      <c r="H23" s="59">
        <f>+'BS'!H23</f>
        <v>1784899.75</v>
      </c>
      <c r="I23" s="59">
        <f>+'BS'!I23</f>
        <v>2416633.25</v>
      </c>
      <c r="J23" s="59">
        <f>+'BS'!J23</f>
        <v>2995000</v>
      </c>
      <c r="K23" s="59">
        <f>+'BS'!K23</f>
        <v>3785000</v>
      </c>
      <c r="L23" s="59">
        <f>+'BS'!L23</f>
        <v>4318000</v>
      </c>
      <c r="M23" s="59">
        <f>+'BS'!M23</f>
        <v>4799500</v>
      </c>
      <c r="N23" s="59">
        <f>+'BS'!N23</f>
        <v>5354500</v>
      </c>
      <c r="O23" s="59">
        <f>+'BS'!O23</f>
        <v>6096500</v>
      </c>
      <c r="P23" s="59">
        <f>+'BS'!P23</f>
        <v>6805000</v>
      </c>
      <c r="Q23" s="59">
        <f>+'BS'!Q23</f>
        <v>7200000</v>
      </c>
      <c r="R23" s="59">
        <f>+'BS'!R23</f>
        <v>7543000</v>
      </c>
      <c r="S23" s="59">
        <f>+'BS'!S23</f>
        <v>8349500</v>
      </c>
      <c r="T23" s="59">
        <f>+'BS'!T23</f>
        <v>9429500</v>
      </c>
      <c r="U23" s="59">
        <f>+'BS'!U23</f>
        <v>10786500</v>
      </c>
      <c r="V23" s="136">
        <f>+'BS'!V23</f>
        <v>11580000</v>
      </c>
    </row>
    <row r="24" spans="2:22" ht="12">
      <c r="B24" s="55" t="s">
        <v>50</v>
      </c>
      <c r="C24" s="58"/>
      <c r="D24" s="58"/>
      <c r="E24" s="59">
        <f>+'BS'!E24</f>
        <v>700000</v>
      </c>
      <c r="F24" s="59">
        <f>+'BS'!F24</f>
        <v>200066.6</v>
      </c>
      <c r="G24" s="59">
        <f>+'BS'!G24</f>
        <v>200066.6</v>
      </c>
      <c r="H24" s="59">
        <f>+'BS'!H24</f>
        <v>200066.6</v>
      </c>
      <c r="I24" s="59">
        <f>+'BS'!I24</f>
        <v>240000</v>
      </c>
      <c r="J24" s="59">
        <f>+'BS'!J24</f>
        <v>240000</v>
      </c>
      <c r="K24" s="59">
        <f>+'BS'!K24</f>
        <v>240000</v>
      </c>
      <c r="L24" s="59">
        <f>+'BS'!L24</f>
        <v>280000</v>
      </c>
      <c r="M24" s="59">
        <f>+'BS'!M24</f>
        <v>280000</v>
      </c>
      <c r="N24" s="59">
        <f>+'BS'!N24</f>
        <v>280000</v>
      </c>
      <c r="O24" s="59">
        <f>+'BS'!O24</f>
        <v>320000</v>
      </c>
      <c r="P24" s="59">
        <f>+'BS'!P24</f>
        <v>320000</v>
      </c>
      <c r="Q24" s="59">
        <f>+'BS'!Q24</f>
        <v>320000</v>
      </c>
      <c r="R24" s="59">
        <f>+'BS'!R24</f>
        <v>360000</v>
      </c>
      <c r="S24" s="59">
        <f>+'BS'!S24</f>
        <v>360000</v>
      </c>
      <c r="T24" s="59">
        <f>+'BS'!T24</f>
        <v>360000</v>
      </c>
      <c r="U24" s="59">
        <f>+'BS'!U24</f>
        <v>400000</v>
      </c>
      <c r="V24" s="136">
        <f>+'BS'!V24</f>
        <v>400000</v>
      </c>
    </row>
    <row r="25" spans="2:22" ht="12">
      <c r="B25" s="55" t="s">
        <v>51</v>
      </c>
      <c r="C25" s="58"/>
      <c r="D25" s="58"/>
      <c r="E25" s="59">
        <f>+'BS'!E25</f>
        <v>500000</v>
      </c>
      <c r="F25" s="59">
        <f>+'BS'!F25</f>
        <v>0</v>
      </c>
      <c r="G25" s="59">
        <f>+'BS'!G25</f>
        <v>0</v>
      </c>
      <c r="H25" s="59">
        <f>+'BS'!H25</f>
        <v>0</v>
      </c>
      <c r="I25" s="59">
        <f>+'BS'!I25</f>
        <v>0</v>
      </c>
      <c r="J25" s="59">
        <f>+'BS'!J25</f>
        <v>0</v>
      </c>
      <c r="K25" s="59">
        <f>+'BS'!K25</f>
        <v>0</v>
      </c>
      <c r="L25" s="59">
        <f>+'BS'!L25</f>
        <v>0</v>
      </c>
      <c r="M25" s="59">
        <f>+'BS'!M25</f>
        <v>0</v>
      </c>
      <c r="N25" s="59">
        <f>+'BS'!N25</f>
        <v>0</v>
      </c>
      <c r="O25" s="59">
        <f>+'BS'!O25</f>
        <v>0</v>
      </c>
      <c r="P25" s="59">
        <f>+'BS'!P25</f>
        <v>0</v>
      </c>
      <c r="Q25" s="59">
        <f>+'BS'!Q25</f>
        <v>0</v>
      </c>
      <c r="R25" s="59">
        <f>+'BS'!R25</f>
        <v>0</v>
      </c>
      <c r="S25" s="59">
        <f>+'BS'!S25</f>
        <v>0</v>
      </c>
      <c r="T25" s="59">
        <f>+'BS'!T25</f>
        <v>0</v>
      </c>
      <c r="U25" s="59">
        <f>+'BS'!U25</f>
        <v>0</v>
      </c>
      <c r="V25" s="136">
        <f>+'BS'!V25</f>
        <v>0</v>
      </c>
    </row>
    <row r="26" spans="2:22" ht="12.75" customHeight="1">
      <c r="B26" s="60" t="s">
        <v>52</v>
      </c>
      <c r="C26" s="61"/>
      <c r="D26" s="61"/>
      <c r="E26" s="62">
        <f>+'BS'!E26</f>
        <v>1800000</v>
      </c>
      <c r="F26" s="62">
        <f>+'BS'!F26</f>
        <v>1195133.1</v>
      </c>
      <c r="G26" s="62">
        <f>+'BS'!G26</f>
        <v>1547466.35</v>
      </c>
      <c r="H26" s="62">
        <f>+'BS'!H26</f>
        <v>1984966.35</v>
      </c>
      <c r="I26" s="62">
        <f>+'BS'!I26</f>
        <v>2656633.25</v>
      </c>
      <c r="J26" s="62">
        <f>+'BS'!J26</f>
        <v>3235000</v>
      </c>
      <c r="K26" s="62">
        <f>+'BS'!K26</f>
        <v>4025000</v>
      </c>
      <c r="L26" s="62">
        <f>+'BS'!L26</f>
        <v>4598000</v>
      </c>
      <c r="M26" s="62">
        <f>+'BS'!M26</f>
        <v>5079500</v>
      </c>
      <c r="N26" s="62">
        <f>+'BS'!N26</f>
        <v>5634500</v>
      </c>
      <c r="O26" s="62">
        <f>+'BS'!O26</f>
        <v>6416500</v>
      </c>
      <c r="P26" s="62">
        <f>+'BS'!P26</f>
        <v>7125000</v>
      </c>
      <c r="Q26" s="62">
        <f>+'BS'!Q26</f>
        <v>7520000</v>
      </c>
      <c r="R26" s="62">
        <f>+'BS'!R26</f>
        <v>7903000</v>
      </c>
      <c r="S26" s="62">
        <f>+'BS'!S26</f>
        <v>8709500</v>
      </c>
      <c r="T26" s="62">
        <f>+'BS'!T26</f>
        <v>9789500</v>
      </c>
      <c r="U26" s="62">
        <f>+'BS'!U26</f>
        <v>11186500</v>
      </c>
      <c r="V26" s="127">
        <f>+'BS'!V26</f>
        <v>11980000</v>
      </c>
    </row>
    <row r="27" spans="2:22" ht="12">
      <c r="B27" s="71"/>
      <c r="C27" s="14"/>
      <c r="D27" s="14"/>
      <c r="E27" s="59">
        <f>+'BS'!E27</f>
        <v>0</v>
      </c>
      <c r="F27" s="59">
        <f>+'BS'!F27</f>
        <v>0</v>
      </c>
      <c r="G27" s="59">
        <f>+'BS'!G27</f>
        <v>0</v>
      </c>
      <c r="H27" s="59">
        <f>+'BS'!H27</f>
        <v>0</v>
      </c>
      <c r="I27" s="59">
        <f>+'BS'!I27</f>
        <v>0</v>
      </c>
      <c r="J27" s="59">
        <f>+'BS'!J27</f>
        <v>0</v>
      </c>
      <c r="K27" s="59">
        <f>+'BS'!K27</f>
        <v>0</v>
      </c>
      <c r="L27" s="59">
        <f>+'BS'!L27</f>
        <v>0</v>
      </c>
      <c r="M27" s="59">
        <f>+'BS'!M27</f>
        <v>0</v>
      </c>
      <c r="N27" s="59">
        <f>+'BS'!N27</f>
        <v>0</v>
      </c>
      <c r="O27" s="59">
        <f>+'BS'!O27</f>
        <v>0</v>
      </c>
      <c r="P27" s="59">
        <f>+'BS'!P27</f>
        <v>0</v>
      </c>
      <c r="Q27" s="59">
        <f>+'BS'!Q27</f>
        <v>0</v>
      </c>
      <c r="R27" s="59">
        <f>+'BS'!R27</f>
        <v>0</v>
      </c>
      <c r="S27" s="59">
        <f>+'BS'!S27</f>
        <v>0</v>
      </c>
      <c r="T27" s="59">
        <f>+'BS'!T27</f>
        <v>0</v>
      </c>
      <c r="U27" s="59">
        <f>+'BS'!U27</f>
        <v>0</v>
      </c>
      <c r="V27" s="136">
        <f>+'BS'!V27</f>
        <v>0</v>
      </c>
    </row>
    <row r="28" spans="2:22" ht="12">
      <c r="B28" s="55"/>
      <c r="C28" s="58"/>
      <c r="D28" s="58"/>
      <c r="E28" s="59">
        <f>+'BS'!E28</f>
        <v>0</v>
      </c>
      <c r="F28" s="59">
        <f>+'BS'!F28</f>
        <v>0</v>
      </c>
      <c r="G28" s="59">
        <f>+'BS'!G28</f>
        <v>0</v>
      </c>
      <c r="H28" s="59">
        <f>+'BS'!H28</f>
        <v>0</v>
      </c>
      <c r="I28" s="59">
        <f>+'BS'!I28</f>
        <v>0</v>
      </c>
      <c r="J28" s="59">
        <f>+'BS'!J28</f>
        <v>0</v>
      </c>
      <c r="K28" s="59">
        <f>+'BS'!K28</f>
        <v>0</v>
      </c>
      <c r="L28" s="59">
        <f>+'BS'!L28</f>
        <v>0</v>
      </c>
      <c r="M28" s="59">
        <f>+'BS'!M28</f>
        <v>0</v>
      </c>
      <c r="N28" s="59">
        <f>+'BS'!N28</f>
        <v>0</v>
      </c>
      <c r="O28" s="59">
        <f>+'BS'!O28</f>
        <v>0</v>
      </c>
      <c r="P28" s="59">
        <f>+'BS'!P28</f>
        <v>0</v>
      </c>
      <c r="Q28" s="59">
        <f>+'BS'!Q28</f>
        <v>0</v>
      </c>
      <c r="R28" s="59">
        <f>+'BS'!R28</f>
        <v>0</v>
      </c>
      <c r="S28" s="59">
        <f>+'BS'!S28</f>
        <v>0</v>
      </c>
      <c r="T28" s="59">
        <f>+'BS'!T28</f>
        <v>0</v>
      </c>
      <c r="U28" s="59">
        <f>+'BS'!U28</f>
        <v>0</v>
      </c>
      <c r="V28" s="136">
        <f>+'BS'!V28</f>
        <v>0</v>
      </c>
    </row>
    <row r="29" spans="2:22" ht="12">
      <c r="B29" s="55" t="s">
        <v>53</v>
      </c>
      <c r="C29" s="58"/>
      <c r="D29" s="58"/>
      <c r="E29" s="59">
        <f>+'BS'!E29</f>
        <v>0</v>
      </c>
      <c r="F29" s="59">
        <f>+'BS'!F29</f>
        <v>0</v>
      </c>
      <c r="G29" s="59">
        <f>+'BS'!G29</f>
        <v>0</v>
      </c>
      <c r="H29" s="59">
        <f>+'BS'!H29</f>
        <v>0</v>
      </c>
      <c r="I29" s="59">
        <f>+'BS'!I29</f>
        <v>0</v>
      </c>
      <c r="J29" s="59">
        <f>+'BS'!J29</f>
        <v>0</v>
      </c>
      <c r="K29" s="59">
        <f>+'BS'!K29</f>
        <v>0</v>
      </c>
      <c r="L29" s="59">
        <f>+'BS'!L29</f>
        <v>0</v>
      </c>
      <c r="M29" s="59">
        <f>+'BS'!M29</f>
        <v>0</v>
      </c>
      <c r="N29" s="59">
        <f>+'BS'!N29</f>
        <v>0</v>
      </c>
      <c r="O29" s="59">
        <f>+'BS'!O29</f>
        <v>0</v>
      </c>
      <c r="P29" s="59">
        <f>+'BS'!P29</f>
        <v>0</v>
      </c>
      <c r="Q29" s="59">
        <f>+'BS'!Q29</f>
        <v>0</v>
      </c>
      <c r="R29" s="59">
        <f>+'BS'!R29</f>
        <v>0</v>
      </c>
      <c r="S29" s="59">
        <f>+'BS'!S29</f>
        <v>0</v>
      </c>
      <c r="T29" s="59">
        <f>+'BS'!T29</f>
        <v>0</v>
      </c>
      <c r="U29" s="59">
        <f>+'BS'!U29</f>
        <v>0</v>
      </c>
      <c r="V29" s="136">
        <f>+'BS'!V29</f>
        <v>0</v>
      </c>
    </row>
    <row r="30" spans="2:22" ht="12.75" customHeight="1">
      <c r="B30" s="72" t="s">
        <v>54</v>
      </c>
      <c r="C30" s="73"/>
      <c r="D30" s="73"/>
      <c r="E30" s="74">
        <f>+'BS'!E30</f>
        <v>1800000</v>
      </c>
      <c r="F30" s="74">
        <f>+'BS'!F30</f>
        <v>1195133.1</v>
      </c>
      <c r="G30" s="74">
        <f>+'BS'!G30</f>
        <v>1547466.35</v>
      </c>
      <c r="H30" s="74">
        <f>+'BS'!H30</f>
        <v>1984966.35</v>
      </c>
      <c r="I30" s="74">
        <f>+'BS'!I30</f>
        <v>2656633.25</v>
      </c>
      <c r="J30" s="74">
        <f>+'BS'!J30</f>
        <v>3235000</v>
      </c>
      <c r="K30" s="74">
        <f>+'BS'!K30</f>
        <v>4025000</v>
      </c>
      <c r="L30" s="74">
        <f>+'BS'!L30</f>
        <v>4598000</v>
      </c>
      <c r="M30" s="74">
        <f>+'BS'!M30</f>
        <v>5079500</v>
      </c>
      <c r="N30" s="74">
        <f>+'BS'!N30</f>
        <v>5634500</v>
      </c>
      <c r="O30" s="74">
        <f>+'BS'!O30</f>
        <v>6416500</v>
      </c>
      <c r="P30" s="74">
        <f>+'BS'!P30</f>
        <v>7125000</v>
      </c>
      <c r="Q30" s="74">
        <f>+'BS'!Q30</f>
        <v>7520000</v>
      </c>
      <c r="R30" s="74">
        <f>+'BS'!R30</f>
        <v>7903000</v>
      </c>
      <c r="S30" s="74">
        <f>+'BS'!S30</f>
        <v>8709500</v>
      </c>
      <c r="T30" s="74">
        <f>+'BS'!T30</f>
        <v>9789500</v>
      </c>
      <c r="U30" s="74">
        <f>+'BS'!U30</f>
        <v>11186500</v>
      </c>
      <c r="V30" s="138">
        <f>+'BS'!V30</f>
        <v>11980000</v>
      </c>
    </row>
    <row r="31" spans="2:22" ht="13.5">
      <c r="B31" s="65"/>
      <c r="C31" s="54"/>
      <c r="D31" s="54"/>
      <c r="E31" s="66">
        <f>+'BS'!E31</f>
        <v>0</v>
      </c>
      <c r="F31" s="66">
        <f>+'BS'!F31</f>
        <v>0</v>
      </c>
      <c r="G31" s="66">
        <f>+'BS'!G31</f>
        <v>0</v>
      </c>
      <c r="H31" s="66">
        <f>+'BS'!H31</f>
        <v>0</v>
      </c>
      <c r="I31" s="66">
        <f>+'BS'!I31</f>
        <v>0</v>
      </c>
      <c r="J31" s="66">
        <f>+'BS'!J31</f>
        <v>0</v>
      </c>
      <c r="K31" s="66">
        <f>+'BS'!K31</f>
        <v>0</v>
      </c>
      <c r="L31" s="66">
        <f>+'BS'!L31</f>
        <v>0</v>
      </c>
      <c r="M31" s="66">
        <f>+'BS'!M31</f>
        <v>0</v>
      </c>
      <c r="N31" s="66">
        <f>+'BS'!N31</f>
        <v>0</v>
      </c>
      <c r="O31" s="66">
        <f>+'BS'!O31</f>
        <v>0</v>
      </c>
      <c r="P31" s="66">
        <f>+'BS'!P31</f>
        <v>0</v>
      </c>
      <c r="Q31" s="66">
        <f>+'BS'!Q31</f>
        <v>0</v>
      </c>
      <c r="R31" s="66">
        <f>+'BS'!R31</f>
        <v>0</v>
      </c>
      <c r="S31" s="66">
        <f>+'BS'!S31</f>
        <v>0</v>
      </c>
      <c r="T31" s="66">
        <f>+'BS'!T31</f>
        <v>0</v>
      </c>
      <c r="U31" s="66">
        <f>+'BS'!U31</f>
        <v>0</v>
      </c>
      <c r="V31" s="141">
        <f>+'BS'!V31</f>
        <v>0</v>
      </c>
    </row>
    <row r="32" spans="2:22" ht="13.5">
      <c r="B32" s="52" t="s">
        <v>55</v>
      </c>
      <c r="C32" s="68"/>
      <c r="D32" s="68"/>
      <c r="E32" s="68">
        <f>+'BS'!E32</f>
        <v>0</v>
      </c>
      <c r="F32" s="68">
        <f>+'BS'!F32</f>
        <v>0</v>
      </c>
      <c r="G32" s="68">
        <f>+'BS'!G32</f>
        <v>0</v>
      </c>
      <c r="H32" s="68">
        <f>+'BS'!H32</f>
        <v>0</v>
      </c>
      <c r="I32" s="68">
        <f>+'BS'!I32</f>
        <v>0</v>
      </c>
      <c r="J32" s="68">
        <f>+'BS'!J32</f>
        <v>0</v>
      </c>
      <c r="K32" s="68">
        <f>+'BS'!K32</f>
        <v>0</v>
      </c>
      <c r="L32" s="68">
        <f>+'BS'!L32</f>
        <v>0</v>
      </c>
      <c r="M32" s="68">
        <f>+'BS'!M32</f>
        <v>0</v>
      </c>
      <c r="N32" s="68">
        <f>+'BS'!N32</f>
        <v>0</v>
      </c>
      <c r="O32" s="68">
        <f>+'BS'!O32</f>
        <v>0</v>
      </c>
      <c r="P32" s="68">
        <f>+'BS'!P32</f>
        <v>0</v>
      </c>
      <c r="Q32" s="68">
        <f>+'BS'!Q32</f>
        <v>0</v>
      </c>
      <c r="R32" s="68">
        <f>+'BS'!R32</f>
        <v>0</v>
      </c>
      <c r="S32" s="68">
        <f>+'BS'!S32</f>
        <v>0</v>
      </c>
      <c r="T32" s="68">
        <f>+'BS'!T32</f>
        <v>0</v>
      </c>
      <c r="U32" s="68">
        <f>+'BS'!U32</f>
        <v>0</v>
      </c>
      <c r="V32" s="139">
        <f>+'BS'!V32</f>
        <v>0</v>
      </c>
    </row>
    <row r="33" spans="2:22" ht="12">
      <c r="B33" s="55" t="s">
        <v>56</v>
      </c>
      <c r="C33" s="58"/>
      <c r="D33" s="58"/>
      <c r="E33" s="59">
        <f>+'BS'!E33</f>
        <v>49246892</v>
      </c>
      <c r="F33" s="59">
        <f>+'BS'!F33</f>
        <v>49246892</v>
      </c>
      <c r="G33" s="59">
        <f>+'BS'!G33</f>
        <v>49246892</v>
      </c>
      <c r="H33" s="59">
        <f>+'BS'!H33</f>
        <v>49246892</v>
      </c>
      <c r="I33" s="59">
        <f>+'BS'!I33</f>
        <v>49246892</v>
      </c>
      <c r="J33" s="59">
        <f>+'BS'!J33</f>
        <v>49246892</v>
      </c>
      <c r="K33" s="59">
        <f>+'BS'!K33</f>
        <v>49246892</v>
      </c>
      <c r="L33" s="59">
        <f>+'BS'!L33</f>
        <v>49246892</v>
      </c>
      <c r="M33" s="59">
        <f>+'BS'!M33</f>
        <v>49246892</v>
      </c>
      <c r="N33" s="59">
        <f>+'BS'!N33</f>
        <v>49246892</v>
      </c>
      <c r="O33" s="59">
        <f>+'BS'!O33</f>
        <v>49246892</v>
      </c>
      <c r="P33" s="59">
        <f>+'BS'!P33</f>
        <v>49246892</v>
      </c>
      <c r="Q33" s="59">
        <f>+'BS'!Q33</f>
        <v>49246892</v>
      </c>
      <c r="R33" s="59">
        <f>+'BS'!R33</f>
        <v>49246892</v>
      </c>
      <c r="S33" s="59">
        <f>+'BS'!S33</f>
        <v>49246892</v>
      </c>
      <c r="T33" s="59">
        <f>+'BS'!T33</f>
        <v>49246892</v>
      </c>
      <c r="U33" s="59">
        <f>+'BS'!U33</f>
        <v>49246892</v>
      </c>
      <c r="V33" s="136">
        <f>+'BS'!V33</f>
        <v>49246892</v>
      </c>
    </row>
    <row r="34" spans="2:22" ht="12">
      <c r="B34" s="55" t="s">
        <v>57</v>
      </c>
      <c r="C34" s="58"/>
      <c r="D34" s="58"/>
      <c r="E34" s="59">
        <f>+'BS'!E34</f>
        <v>1785</v>
      </c>
      <c r="F34" s="59">
        <f>+'BS'!F34</f>
        <v>1785</v>
      </c>
      <c r="G34" s="59">
        <f>+'BS'!G34</f>
        <v>1785</v>
      </c>
      <c r="H34" s="59">
        <f>+'BS'!H34</f>
        <v>1785</v>
      </c>
      <c r="I34" s="59">
        <f>+'BS'!I34</f>
        <v>1785</v>
      </c>
      <c r="J34" s="59">
        <f>+'BS'!J34</f>
        <v>1785</v>
      </c>
      <c r="K34" s="59">
        <f>+'BS'!K34</f>
        <v>1785</v>
      </c>
      <c r="L34" s="59">
        <f>+'BS'!L34</f>
        <v>1785</v>
      </c>
      <c r="M34" s="59">
        <f>+'BS'!M34</f>
        <v>1785</v>
      </c>
      <c r="N34" s="59">
        <f>+'BS'!N34</f>
        <v>1785</v>
      </c>
      <c r="O34" s="59">
        <f>+'BS'!O34</f>
        <v>1785</v>
      </c>
      <c r="P34" s="59">
        <f>+'BS'!P34</f>
        <v>1785</v>
      </c>
      <c r="Q34" s="59">
        <f>+'BS'!Q34</f>
        <v>1785</v>
      </c>
      <c r="R34" s="59">
        <f>+'BS'!R34</f>
        <v>1785</v>
      </c>
      <c r="S34" s="59">
        <f>+'BS'!S34</f>
        <v>1785</v>
      </c>
      <c r="T34" s="59">
        <f>+'BS'!T34</f>
        <v>1785</v>
      </c>
      <c r="U34" s="59">
        <f>+'BS'!U34</f>
        <v>1785</v>
      </c>
      <c r="V34" s="136">
        <f>+'BS'!V34</f>
        <v>1785</v>
      </c>
    </row>
    <row r="35" spans="2:22" ht="12">
      <c r="B35" s="55" t="s">
        <v>58</v>
      </c>
      <c r="C35" s="58"/>
      <c r="D35" s="58"/>
      <c r="E35" s="59">
        <f>+'BS'!E35</f>
        <v>193599</v>
      </c>
      <c r="F35" s="59">
        <f>+'BS'!F35</f>
        <v>193599</v>
      </c>
      <c r="G35" s="59">
        <f>+'BS'!G35</f>
        <v>193599</v>
      </c>
      <c r="H35" s="59">
        <f>+'BS'!H35</f>
        <v>193599</v>
      </c>
      <c r="I35" s="59">
        <f>+'BS'!I35</f>
        <v>193599</v>
      </c>
      <c r="J35" s="59">
        <f>+'BS'!J35</f>
        <v>193599</v>
      </c>
      <c r="K35" s="59">
        <f>+'BS'!K35</f>
        <v>193599</v>
      </c>
      <c r="L35" s="59">
        <f>+'BS'!L35</f>
        <v>193599</v>
      </c>
      <c r="M35" s="59">
        <f>+'BS'!M35</f>
        <v>193599</v>
      </c>
      <c r="N35" s="59">
        <f>+'BS'!N35</f>
        <v>193599</v>
      </c>
      <c r="O35" s="59">
        <f>+'BS'!O35</f>
        <v>193599</v>
      </c>
      <c r="P35" s="59">
        <f>+'BS'!P35</f>
        <v>193599</v>
      </c>
      <c r="Q35" s="59">
        <f>+'BS'!Q35</f>
        <v>193599</v>
      </c>
      <c r="R35" s="59">
        <f>+'BS'!R35</f>
        <v>193599</v>
      </c>
      <c r="S35" s="59">
        <f>+'BS'!S35</f>
        <v>193599</v>
      </c>
      <c r="T35" s="59">
        <f>+'BS'!T35</f>
        <v>193599</v>
      </c>
      <c r="U35" s="59">
        <f>+'BS'!U35</f>
        <v>193599</v>
      </c>
      <c r="V35" s="136">
        <f>+'BS'!V35</f>
        <v>193599</v>
      </c>
    </row>
    <row r="36" spans="2:22" ht="12">
      <c r="B36" s="55" t="s">
        <v>59</v>
      </c>
      <c r="C36" s="58"/>
      <c r="D36" s="58"/>
      <c r="E36" s="59">
        <f>+'BS'!E36</f>
        <v>-27238862</v>
      </c>
      <c r="F36" s="59">
        <f>+'BS'!F36</f>
        <v>-29226903.833333332</v>
      </c>
      <c r="G36" s="59">
        <f>+'BS'!G36</f>
        <v>-29588704</v>
      </c>
      <c r="H36" s="59">
        <f>+'BS'!H36</f>
        <v>-31198020.833333332</v>
      </c>
      <c r="I36" s="59">
        <f>+'BS'!I36</f>
        <v>-32843279.98333333</v>
      </c>
      <c r="J36" s="59">
        <f>+'BS'!J36</f>
        <v>-32636905.63333333</v>
      </c>
      <c r="K36" s="59">
        <f>+'BS'!K36</f>
        <v>-33479747.616666663</v>
      </c>
      <c r="L36" s="59">
        <f>+'BS'!L36</f>
        <v>-34409805.78333333</v>
      </c>
      <c r="M36" s="59">
        <f>+'BS'!M36</f>
        <v>-33416171.78333333</v>
      </c>
      <c r="N36" s="59">
        <f>+'BS'!N36</f>
        <v>-33525937.116666663</v>
      </c>
      <c r="O36" s="59">
        <f>+'BS'!O36</f>
        <v>-33374860.266666662</v>
      </c>
      <c r="P36" s="59">
        <f>+'BS'!P36</f>
        <v>-31074699.416666664</v>
      </c>
      <c r="Q36" s="59">
        <f>+'BS'!Q36</f>
        <v>-29625454.566666663</v>
      </c>
      <c r="R36" s="59">
        <f>+'BS'!R36</f>
        <v>-28218458.733333327</v>
      </c>
      <c r="S36" s="59">
        <f>+'BS'!S36</f>
        <v>-24716561.89999999</v>
      </c>
      <c r="T36" s="59">
        <f>+'BS'!T36</f>
        <v>-21867280.733333323</v>
      </c>
      <c r="U36" s="59">
        <f>+'BS'!U36</f>
        <v>-18026798.883333325</v>
      </c>
      <c r="V36" s="136">
        <f>+'BS'!V36</f>
        <v>-11586449.366666658</v>
      </c>
    </row>
    <row r="37" spans="2:22" ht="12">
      <c r="B37" s="55" t="s">
        <v>60</v>
      </c>
      <c r="C37" s="58"/>
      <c r="D37" s="58"/>
      <c r="E37" s="59">
        <f>+'BS'!E37</f>
        <v>0</v>
      </c>
      <c r="F37" s="59">
        <f>+'BS'!F37</f>
        <v>0</v>
      </c>
      <c r="G37" s="59">
        <f>+'BS'!G37</f>
        <v>0</v>
      </c>
      <c r="H37" s="59">
        <f>+'BS'!H37</f>
        <v>0</v>
      </c>
      <c r="I37" s="59">
        <f>+'BS'!I37</f>
        <v>0</v>
      </c>
      <c r="J37" s="59">
        <f>+'BS'!J37</f>
        <v>0</v>
      </c>
      <c r="K37" s="59">
        <f>+'BS'!K37</f>
        <v>0</v>
      </c>
      <c r="L37" s="59">
        <f>+'BS'!L37</f>
        <v>0</v>
      </c>
      <c r="M37" s="59">
        <f>+'BS'!M37</f>
        <v>0</v>
      </c>
      <c r="N37" s="59">
        <f>+'BS'!N37</f>
        <v>0</v>
      </c>
      <c r="O37" s="59">
        <f>+'BS'!O37</f>
        <v>0</v>
      </c>
      <c r="P37" s="59">
        <f>+'BS'!P37</f>
        <v>0</v>
      </c>
      <c r="Q37" s="59">
        <f>+'BS'!Q37</f>
        <v>0</v>
      </c>
      <c r="R37" s="59">
        <f>+'BS'!R37</f>
        <v>0</v>
      </c>
      <c r="S37" s="59">
        <f>+'BS'!S37</f>
        <v>0</v>
      </c>
      <c r="T37" s="59">
        <f>+'BS'!T37</f>
        <v>0</v>
      </c>
      <c r="U37" s="59">
        <f>+'BS'!U37</f>
        <v>0</v>
      </c>
      <c r="V37" s="136">
        <f>+'BS'!V37</f>
        <v>0</v>
      </c>
    </row>
    <row r="38" spans="2:22" ht="12">
      <c r="B38" s="55" t="s">
        <v>61</v>
      </c>
      <c r="C38" s="58"/>
      <c r="D38" s="58"/>
      <c r="E38" s="59">
        <f>+'BS'!E38</f>
        <v>22203414</v>
      </c>
      <c r="F38" s="59">
        <f>+'BS'!F38</f>
        <v>20215372.166666668</v>
      </c>
      <c r="G38" s="59">
        <f>+'BS'!G38</f>
        <v>19853572</v>
      </c>
      <c r="H38" s="59">
        <f>+'BS'!H38</f>
        <v>18244255.166666668</v>
      </c>
      <c r="I38" s="59">
        <f>+'BS'!I38</f>
        <v>16598996.01666667</v>
      </c>
      <c r="J38" s="59">
        <f>+'BS'!J38</f>
        <v>16805370.36666667</v>
      </c>
      <c r="K38" s="59">
        <f>+'BS'!K38</f>
        <v>15962528.383333337</v>
      </c>
      <c r="L38" s="59">
        <f>+'BS'!L38</f>
        <v>15032470.216666669</v>
      </c>
      <c r="M38" s="59">
        <f>+'BS'!M38</f>
        <v>16026104.216666669</v>
      </c>
      <c r="N38" s="59">
        <f>+'BS'!N38</f>
        <v>15916338.883333337</v>
      </c>
      <c r="O38" s="59">
        <f>+'BS'!O38</f>
        <v>16067415.733333338</v>
      </c>
      <c r="P38" s="59">
        <f>+'BS'!P38</f>
        <v>18367576.583333336</v>
      </c>
      <c r="Q38" s="59">
        <f>+'BS'!Q38</f>
        <v>19816821.433333337</v>
      </c>
      <c r="R38" s="59">
        <f>+'BS'!R38</f>
        <v>21223817.266666673</v>
      </c>
      <c r="S38" s="59">
        <f>+'BS'!S38</f>
        <v>24725714.10000001</v>
      </c>
      <c r="T38" s="59">
        <f>+'BS'!T38</f>
        <v>27574995.266666677</v>
      </c>
      <c r="U38" s="59">
        <f>+'BS'!U38</f>
        <v>31415477.116666675</v>
      </c>
      <c r="V38" s="136">
        <f>+'BS'!V38</f>
        <v>37855826.63333334</v>
      </c>
    </row>
    <row r="39" spans="2:22" ht="12.75">
      <c r="B39" s="75" t="s">
        <v>62</v>
      </c>
      <c r="C39" s="76"/>
      <c r="D39" s="76"/>
      <c r="E39" s="77">
        <f>+'BS'!E39</f>
        <v>24003414</v>
      </c>
      <c r="F39" s="77">
        <f>+'BS'!F39</f>
        <v>21410505.26666667</v>
      </c>
      <c r="G39" s="77">
        <f>+'BS'!G39</f>
        <v>21401038.35</v>
      </c>
      <c r="H39" s="77">
        <f>+'BS'!H39</f>
        <v>20229221.51666667</v>
      </c>
      <c r="I39" s="77">
        <f>+'BS'!I39</f>
        <v>19255629.26666667</v>
      </c>
      <c r="J39" s="77">
        <f>+'BS'!J39</f>
        <v>20040370.36666667</v>
      </c>
      <c r="K39" s="77">
        <f>+'BS'!K39</f>
        <v>19987528.383333337</v>
      </c>
      <c r="L39" s="77">
        <f>+'BS'!L39</f>
        <v>19630470.21666667</v>
      </c>
      <c r="M39" s="77">
        <f>+'BS'!M39</f>
        <v>21105604.21666667</v>
      </c>
      <c r="N39" s="77">
        <f>+'BS'!N39</f>
        <v>21550838.883333337</v>
      </c>
      <c r="O39" s="77">
        <f>+'BS'!O39</f>
        <v>22483915.733333338</v>
      </c>
      <c r="P39" s="77">
        <f>+'BS'!P39</f>
        <v>25492576.583333336</v>
      </c>
      <c r="Q39" s="77">
        <f>+'BS'!Q39</f>
        <v>27336821.433333337</v>
      </c>
      <c r="R39" s="77">
        <f>+'BS'!R39</f>
        <v>29126817.266666673</v>
      </c>
      <c r="S39" s="77">
        <f>+'BS'!S39</f>
        <v>33435214.10000001</v>
      </c>
      <c r="T39" s="77">
        <f>+'BS'!T39</f>
        <v>37364495.26666668</v>
      </c>
      <c r="U39" s="77">
        <f>+'BS'!U39</f>
        <v>42601977.116666675</v>
      </c>
      <c r="V39" s="129">
        <f>+'BS'!V39</f>
        <v>49835826.63333334</v>
      </c>
    </row>
    <row r="40" spans="2:22" ht="12.75" thickBot="1">
      <c r="B40" s="78" t="s">
        <v>63</v>
      </c>
      <c r="C40" s="79"/>
      <c r="D40" s="79"/>
      <c r="E40" s="80">
        <f aca="true" t="shared" si="0" ref="E40:V40">E20-E39</f>
        <v>500</v>
      </c>
      <c r="F40" s="80">
        <f t="shared" si="0"/>
        <v>500</v>
      </c>
      <c r="G40" s="80">
        <f t="shared" si="0"/>
        <v>500</v>
      </c>
      <c r="H40" s="80">
        <f t="shared" si="0"/>
        <v>500</v>
      </c>
      <c r="I40" s="80">
        <f t="shared" si="0"/>
        <v>500</v>
      </c>
      <c r="J40" s="80">
        <f t="shared" si="0"/>
        <v>499.9999999962747</v>
      </c>
      <c r="K40" s="80">
        <f t="shared" si="0"/>
        <v>500</v>
      </c>
      <c r="L40" s="80">
        <f t="shared" si="0"/>
        <v>500</v>
      </c>
      <c r="M40" s="80">
        <f t="shared" si="0"/>
        <v>500</v>
      </c>
      <c r="N40" s="80">
        <f t="shared" si="0"/>
        <v>499.9999999962747</v>
      </c>
      <c r="O40" s="80">
        <f t="shared" si="0"/>
        <v>500</v>
      </c>
      <c r="P40" s="80">
        <f t="shared" si="0"/>
        <v>500</v>
      </c>
      <c r="Q40" s="80">
        <f t="shared" si="0"/>
        <v>500</v>
      </c>
      <c r="R40" s="80">
        <f t="shared" si="0"/>
        <v>499.9999999962747</v>
      </c>
      <c r="S40" s="80">
        <f t="shared" si="0"/>
        <v>499.9999999925494</v>
      </c>
      <c r="T40" s="80">
        <f t="shared" si="0"/>
        <v>499.9999999925494</v>
      </c>
      <c r="U40" s="80">
        <f t="shared" si="0"/>
        <v>500</v>
      </c>
      <c r="V40" s="140">
        <f t="shared" si="0"/>
        <v>500</v>
      </c>
    </row>
    <row r="41" ht="12">
      <c r="G41" s="12"/>
    </row>
    <row r="46" spans="8:22" ht="12"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8" spans="8:9" ht="12">
      <c r="H48" s="91"/>
      <c r="I48" s="91"/>
    </row>
  </sheetData>
  <sheetProtection/>
  <printOptions/>
  <pageMargins left="0.75" right="0.75" top="1" bottom="1" header="0.5" footer="0.5"/>
  <pageSetup fitToHeight="1" fitToWidth="1" horizontalDpi="300" verticalDpi="300" orientation="landscape" scale="79" r:id="rId1"/>
  <headerFooter alignWithMargins="0"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Q11" sqref="Q11"/>
    </sheetView>
  </sheetViews>
  <sheetFormatPr defaultColWidth="9.140625" defaultRowHeight="12.75"/>
  <cols>
    <col min="2" max="2" width="41.8515625" style="0" customWidth="1"/>
    <col min="3" max="3" width="25.57421875" style="0" customWidth="1"/>
    <col min="4" max="9" width="15.8515625" style="0" customWidth="1"/>
  </cols>
  <sheetData>
    <row r="1" spans="1:9" ht="12">
      <c r="A1" s="45"/>
      <c r="B1" s="12"/>
      <c r="C1" s="12"/>
      <c r="D1" s="12"/>
      <c r="E1" s="15"/>
      <c r="F1" s="12"/>
      <c r="G1" s="12"/>
      <c r="H1" s="12"/>
      <c r="I1" s="12"/>
    </row>
    <row r="2" spans="1:9" ht="13.5">
      <c r="A2" s="12"/>
      <c r="B2" s="92" t="s">
        <v>70</v>
      </c>
      <c r="C2" s="12"/>
      <c r="D2" s="12"/>
      <c r="E2" s="15"/>
      <c r="F2" s="12"/>
      <c r="G2" s="12"/>
      <c r="H2" s="12"/>
      <c r="I2" s="12"/>
    </row>
    <row r="3" spans="1:9" ht="12.75" thickBot="1">
      <c r="A3" s="12"/>
      <c r="B3" s="12"/>
      <c r="C3" s="12"/>
      <c r="D3" s="12"/>
      <c r="E3" s="15"/>
      <c r="F3" s="12"/>
      <c r="G3" s="12"/>
      <c r="H3" s="12"/>
      <c r="I3" s="12"/>
    </row>
    <row r="4" spans="1:9" ht="15">
      <c r="A4" s="12"/>
      <c r="B4" s="20" t="s">
        <v>31</v>
      </c>
      <c r="C4" s="113" t="s">
        <v>95</v>
      </c>
      <c r="D4" s="113" t="s">
        <v>96</v>
      </c>
      <c r="E4" s="120" t="s">
        <v>111</v>
      </c>
      <c r="F4" s="120" t="s">
        <v>112</v>
      </c>
      <c r="G4" s="120" t="s">
        <v>113</v>
      </c>
      <c r="H4" s="121" t="s">
        <v>114</v>
      </c>
      <c r="I4" s="125" t="s">
        <v>115</v>
      </c>
    </row>
    <row r="5" spans="1:9" ht="13.5">
      <c r="A5" s="12"/>
      <c r="B5" s="93" t="s">
        <v>71</v>
      </c>
      <c r="C5" s="94"/>
      <c r="D5" s="94"/>
      <c r="E5" s="94"/>
      <c r="F5" s="94"/>
      <c r="G5" s="94"/>
      <c r="H5" s="94"/>
      <c r="I5" s="126"/>
    </row>
    <row r="6" spans="1:9" ht="12">
      <c r="A6" s="12"/>
      <c r="B6" s="95" t="s">
        <v>72</v>
      </c>
      <c r="C6" s="24">
        <f>+'IS-Qtr'!D22</f>
        <v>-1988041.8333333333</v>
      </c>
      <c r="D6" s="24">
        <f>+'IS-Qtr'!E22</f>
        <v>-361800.16666666674</v>
      </c>
      <c r="E6" s="24">
        <f>+'IS-Qtr'!F22</f>
        <v>-3048201.633333333</v>
      </c>
      <c r="F6" s="24">
        <f>+'IS-Qtr'!G22</f>
        <v>-779266.1500000004</v>
      </c>
      <c r="G6" s="24">
        <f>+'IS-Qtr'!H22</f>
        <v>2341472.366666667</v>
      </c>
      <c r="H6" s="24">
        <f>+'IS-Qtr'!I22</f>
        <v>6358137.516666668</v>
      </c>
      <c r="I6" s="131">
        <f>+'IS-Qtr'!J22</f>
        <v>13130112.533333335</v>
      </c>
    </row>
    <row r="7" spans="1:9" ht="12">
      <c r="A7" s="12"/>
      <c r="B7" s="95" t="s">
        <v>73</v>
      </c>
      <c r="C7" s="24"/>
      <c r="D7" s="24"/>
      <c r="E7" s="24"/>
      <c r="F7" s="24"/>
      <c r="G7" s="24"/>
      <c r="H7" s="24"/>
      <c r="I7" s="25"/>
    </row>
    <row r="8" spans="1:9" ht="12">
      <c r="A8" s="12"/>
      <c r="B8" s="95" t="s">
        <v>74</v>
      </c>
      <c r="C8" s="24"/>
      <c r="D8" s="24"/>
      <c r="E8" s="24"/>
      <c r="F8" s="24"/>
      <c r="G8" s="24"/>
      <c r="H8" s="24"/>
      <c r="I8" s="25"/>
    </row>
    <row r="9" spans="1:9" ht="12">
      <c r="A9" s="12"/>
      <c r="B9" s="95" t="s">
        <v>75</v>
      </c>
      <c r="C9" s="24"/>
      <c r="D9" s="24"/>
      <c r="E9" s="24"/>
      <c r="F9" s="24"/>
      <c r="G9" s="24"/>
      <c r="H9" s="24"/>
      <c r="I9" s="25"/>
    </row>
    <row r="10" spans="1:9" ht="12">
      <c r="A10" s="12"/>
      <c r="B10" s="95" t="s">
        <v>76</v>
      </c>
      <c r="C10" s="24"/>
      <c r="D10" s="24"/>
      <c r="E10" s="24"/>
      <c r="F10" s="24"/>
      <c r="G10" s="24"/>
      <c r="H10" s="24"/>
      <c r="I10" s="25"/>
    </row>
    <row r="11" spans="1:9" ht="12">
      <c r="A11" s="12"/>
      <c r="B11" s="95"/>
      <c r="C11" s="24"/>
      <c r="D11" s="24"/>
      <c r="E11" s="24"/>
      <c r="F11" s="24"/>
      <c r="G11" s="24"/>
      <c r="H11" s="24"/>
      <c r="I11" s="25"/>
    </row>
    <row r="12" spans="1:9" ht="12.75">
      <c r="A12" s="12"/>
      <c r="B12" s="96" t="s">
        <v>77</v>
      </c>
      <c r="C12" s="24"/>
      <c r="D12" s="24"/>
      <c r="E12" s="24"/>
      <c r="F12" s="24"/>
      <c r="G12" s="24"/>
      <c r="H12" s="24"/>
      <c r="I12" s="25"/>
    </row>
    <row r="13" spans="1:9" ht="12">
      <c r="A13" s="12"/>
      <c r="B13" s="95" t="s">
        <v>40</v>
      </c>
      <c r="C13" s="24">
        <f>+'BS'!E12-'BS'!F12</f>
        <v>-16666.666666666668</v>
      </c>
      <c r="D13" s="24">
        <f>+'BS'!F12-'BS'!G12</f>
        <v>-1666666.6666666665</v>
      </c>
      <c r="E13" s="24">
        <f>+'BS-Qtr'!G12-'BS-Qtr'!J12</f>
        <v>-1316666.6666666667</v>
      </c>
      <c r="F13" s="24">
        <f>+'BS-Qtr'!J12-'BS-Qtr'!M12</f>
        <v>-1850000</v>
      </c>
      <c r="G13" s="24">
        <f>+'BS-Qtr'!M12-'BS-Qtr'!P12</f>
        <v>-2650000</v>
      </c>
      <c r="H13" s="24">
        <f>+'BS-Qtr'!P12-'BS-Qtr'!S12</f>
        <v>-2683333.333333334</v>
      </c>
      <c r="I13" s="25">
        <f>+'BS-Qtr'!S12-'BS-Qtr'!V12</f>
        <v>-4983333.333333334</v>
      </c>
    </row>
    <row r="14" spans="1:9" ht="12">
      <c r="A14" s="12"/>
      <c r="B14" s="95" t="s">
        <v>109</v>
      </c>
      <c r="C14" s="24">
        <f>+'BS'!E10-'BS'!F10</f>
        <v>-30000</v>
      </c>
      <c r="D14" s="24">
        <f>+'BS'!F10-'BS'!G10</f>
        <v>-60000</v>
      </c>
      <c r="E14" s="24">
        <f>+'BS-Qtr'!G10-'BS-Qtr'!J10</f>
        <v>-297000</v>
      </c>
      <c r="F14" s="24">
        <f>+'BS-Qtr'!J10-'BS-Qtr'!M10</f>
        <v>-333000</v>
      </c>
      <c r="G14" s="24">
        <f>+'BS-Qtr'!M10-'BS-Qtr'!P10</f>
        <v>-537000</v>
      </c>
      <c r="H14" s="24">
        <f>+'BS-Qtr'!P10-'BS-Qtr'!S10</f>
        <v>-543000</v>
      </c>
      <c r="I14" s="25">
        <f>+'BS-Qtr'!S10-'BS-Qtr'!V10</f>
        <v>-657000</v>
      </c>
    </row>
    <row r="15" spans="1:9" ht="12">
      <c r="A15" s="12"/>
      <c r="B15" s="95" t="s">
        <v>105</v>
      </c>
      <c r="C15" s="24">
        <f>+'BS'!E11-'BS'!F11</f>
        <v>-23957.5</v>
      </c>
      <c r="D15" s="24">
        <f>+'BS'!F11-'BS'!G11</f>
        <v>-238532.5</v>
      </c>
      <c r="E15" s="24">
        <f>+'BS-Qtr'!G11-'BS-Qtr'!J11</f>
        <v>-2048797.5</v>
      </c>
      <c r="F15" s="24">
        <f>+'BS-Qtr'!J11-'BS-Qtr'!M11</f>
        <v>-4048397.5</v>
      </c>
      <c r="G15" s="24">
        <f>+'BS-Qtr'!M11-'BS-Qtr'!P11</f>
        <v>-5297797.5</v>
      </c>
      <c r="H15" s="24">
        <f>+'BS-Qtr'!P11-'BS-Qtr'!S11</f>
        <v>-5599122.5</v>
      </c>
      <c r="I15" s="25">
        <f>+'BS-Qtr'!S11-'BS-Qtr'!V11</f>
        <v>-7806422.5</v>
      </c>
    </row>
    <row r="16" spans="1:9" ht="12">
      <c r="A16" s="12"/>
      <c r="B16" s="95" t="s">
        <v>41</v>
      </c>
      <c r="C16" s="24">
        <f>+'BS'!E13-'BS'!F13</f>
        <v>-30000</v>
      </c>
      <c r="D16" s="24">
        <f>+'BS'!F13-'BS'!G13</f>
        <v>-80000</v>
      </c>
      <c r="E16" s="24">
        <f>+'BS-Qtr'!G13-'BS-Qtr'!J13</f>
        <v>-349440</v>
      </c>
      <c r="F16" s="24">
        <f>+'BS-Qtr'!J13-'BS-Qtr'!M13</f>
        <v>-603832.3199999998</v>
      </c>
      <c r="G16" s="24">
        <f>+'BS-Qtr'!M13-'BS-Qtr'!P13</f>
        <v>-1043422.2489599995</v>
      </c>
      <c r="H16" s="24">
        <f>+'BS-Qtr'!P13-'BS-Qtr'!S13</f>
        <v>-1803033.6462028786</v>
      </c>
      <c r="I16" s="25">
        <f>+'BS-Qtr'!S13-'BS-Qtr'!V13</f>
        <v>-3115642.140638573</v>
      </c>
    </row>
    <row r="17" spans="1:9" ht="12">
      <c r="A17" s="12"/>
      <c r="B17" s="95" t="s">
        <v>78</v>
      </c>
      <c r="C17" s="24">
        <f>+'BS'!E19-'BS'!F19</f>
        <v>30210</v>
      </c>
      <c r="D17" s="24">
        <f>+'BS'!F19-'BS'!G19</f>
        <v>-18308</v>
      </c>
      <c r="E17" s="24">
        <f>+'BS-Qtr'!G19-'BS-Qtr'!J19</f>
        <v>0</v>
      </c>
      <c r="F17" s="24">
        <f>+'BS-Qtr'!J19-'BS-Qtr'!M19</f>
        <v>0</v>
      </c>
      <c r="G17" s="24">
        <f>+'BS-Qtr'!M19-'BS-Qtr'!P19</f>
        <v>0</v>
      </c>
      <c r="H17" s="24">
        <f>+'BS-Qtr'!P19-'BS-Qtr'!S19</f>
        <v>0</v>
      </c>
      <c r="I17" s="25">
        <f>+'BS-Qtr'!S19-'BS-Qtr'!V19</f>
        <v>0</v>
      </c>
    </row>
    <row r="18" spans="1:9" ht="12">
      <c r="A18" s="12"/>
      <c r="B18" s="95" t="s">
        <v>79</v>
      </c>
      <c r="C18" s="24">
        <f>+'BS'!F23-'BS'!E23</f>
        <v>395066.5</v>
      </c>
      <c r="D18" s="24">
        <f>+'BS'!G23-'BS'!F23</f>
        <v>352333.25</v>
      </c>
      <c r="E18" s="24">
        <f>+'BS-Qtr'!J23-'BS-Qtr'!G23</f>
        <v>1647600.25</v>
      </c>
      <c r="F18" s="24">
        <f>+'BS-Qtr'!M23-'BS-Qtr'!J23</f>
        <v>1804500</v>
      </c>
      <c r="G18" s="24">
        <f>+'BS-Qtr'!P23-'BS-Qtr'!M23</f>
        <v>2005500</v>
      </c>
      <c r="H18" s="24">
        <f>+'BS-Qtr'!S23-'BS-Qtr'!P23</f>
        <v>1544500</v>
      </c>
      <c r="I18" s="25">
        <f>+'BS-Qtr'!V23-'BS-Qtr'!S23</f>
        <v>3230500</v>
      </c>
    </row>
    <row r="19" spans="1:9" ht="12">
      <c r="A19" s="12"/>
      <c r="B19" s="95" t="s">
        <v>80</v>
      </c>
      <c r="C19" s="24">
        <f>+'BS'!F25-'BS'!E25</f>
        <v>-500000</v>
      </c>
      <c r="D19" s="24">
        <f>+'BS'!G25-'BS'!F25</f>
        <v>0</v>
      </c>
      <c r="E19" s="24">
        <f>+'BS-Qtr'!J25-'BS-Qtr'!G25</f>
        <v>0</v>
      </c>
      <c r="F19" s="24">
        <f>+'BS-Qtr'!M25-'BS-Qtr'!J25</f>
        <v>0</v>
      </c>
      <c r="G19" s="24">
        <f>+'BS-Qtr'!P25-'BS-Qtr'!M25</f>
        <v>0</v>
      </c>
      <c r="H19" s="24">
        <f>+'BS-Qtr'!S25-'BS-Qtr'!P25</f>
        <v>0</v>
      </c>
      <c r="I19" s="25">
        <f>+'BS-Qtr'!V25-'BS-Qtr'!S25</f>
        <v>0</v>
      </c>
    </row>
    <row r="20" spans="1:9" ht="12">
      <c r="A20" s="12"/>
      <c r="B20" s="95" t="s">
        <v>50</v>
      </c>
      <c r="C20" s="24">
        <f>+'BS'!F24-'BS'!E24</f>
        <v>-499933.4</v>
      </c>
      <c r="D20" s="24">
        <f>+'BS'!G24-'BS'!F24</f>
        <v>0</v>
      </c>
      <c r="E20" s="24">
        <f>+'BS-Qtr'!J24-'BS-Qtr'!G24</f>
        <v>39933.399999999994</v>
      </c>
      <c r="F20" s="24">
        <f>+'BS-Qtr'!M24-'BS-Qtr'!J24</f>
        <v>40000</v>
      </c>
      <c r="G20" s="24">
        <f>+'BS-Qtr'!P24-'BS-Qtr'!M24</f>
        <v>40000</v>
      </c>
      <c r="H20" s="24">
        <f>+'BS-Qtr'!S24-'BS-Qtr'!P24</f>
        <v>40000</v>
      </c>
      <c r="I20" s="25">
        <f>+'BS-Qtr'!V24-'BS-Qtr'!S24</f>
        <v>40000</v>
      </c>
    </row>
    <row r="21" spans="1:9" ht="13.5">
      <c r="A21" s="12"/>
      <c r="B21" s="97" t="s">
        <v>81</v>
      </c>
      <c r="C21" s="62">
        <f aca="true" t="shared" si="0" ref="C21:I21">SUM(C6:C20)</f>
        <v>-2663322.9</v>
      </c>
      <c r="D21" s="62">
        <f t="shared" si="0"/>
        <v>-2072974.083333333</v>
      </c>
      <c r="E21" s="62">
        <f>SUM(E6:E20)</f>
        <v>-5372572.149999999</v>
      </c>
      <c r="F21" s="62">
        <f t="shared" si="0"/>
        <v>-5769995.970000001</v>
      </c>
      <c r="G21" s="62">
        <f t="shared" si="0"/>
        <v>-5141247.382293332</v>
      </c>
      <c r="H21" s="62">
        <f t="shared" si="0"/>
        <v>-2685851.9628695454</v>
      </c>
      <c r="I21" s="127">
        <f t="shared" si="0"/>
        <v>-161785.44063857198</v>
      </c>
    </row>
    <row r="22" spans="1:9" ht="13.5">
      <c r="A22" s="12"/>
      <c r="B22" s="98"/>
      <c r="C22" s="24"/>
      <c r="D22" s="24"/>
      <c r="E22" s="24"/>
      <c r="F22" s="24"/>
      <c r="G22" s="24"/>
      <c r="H22" s="24"/>
      <c r="I22" s="25"/>
    </row>
    <row r="23" spans="1:9" ht="13.5">
      <c r="A23" s="12"/>
      <c r="B23" s="99" t="s">
        <v>82</v>
      </c>
      <c r="C23" s="100"/>
      <c r="D23" s="100"/>
      <c r="E23" s="100"/>
      <c r="F23" s="100"/>
      <c r="G23" s="100"/>
      <c r="H23" s="100"/>
      <c r="I23" s="128"/>
    </row>
    <row r="24" spans="1:9" ht="12">
      <c r="A24" s="12"/>
      <c r="B24" s="101" t="s">
        <v>83</v>
      </c>
      <c r="C24" s="24">
        <f>+'BS'!E18-'BS'!F18</f>
        <v>-125000</v>
      </c>
      <c r="D24" s="24">
        <f>+'BS'!F18-'BS'!G18</f>
        <v>-131250</v>
      </c>
      <c r="E24" s="24">
        <f>+'BS-Qtr'!G18-'BS-Qtr'!J18</f>
        <v>-434453.90625</v>
      </c>
      <c r="F24" s="24">
        <f>+'BS-Qtr'!J18-'BS-Qtr'!M18</f>
        <v>-502934.7032226566</v>
      </c>
      <c r="G24" s="24">
        <f>+'BS-Qtr'!M18-'BS-Qtr'!P18</f>
        <v>-582209.7858181279</v>
      </c>
      <c r="H24" s="24">
        <f>+'BS-Qtr'!P18-'BS-Qtr'!S18</f>
        <v>-673980.603307711</v>
      </c>
      <c r="I24" s="25">
        <f>+'BS-Qtr'!S18-'BS-Qtr'!V18</f>
        <v>-780216.7959040878</v>
      </c>
    </row>
    <row r="25" spans="1:9" ht="12">
      <c r="A25" s="12"/>
      <c r="B25" s="101" t="s">
        <v>84</v>
      </c>
      <c r="C25" s="24"/>
      <c r="D25" s="24"/>
      <c r="E25" s="24"/>
      <c r="F25" s="24"/>
      <c r="G25" s="24"/>
      <c r="H25" s="24"/>
      <c r="I25" s="25"/>
    </row>
    <row r="26" spans="1:9" ht="12">
      <c r="A26" s="12"/>
      <c r="B26" s="101"/>
      <c r="C26" s="24"/>
      <c r="D26" s="24"/>
      <c r="E26" s="24"/>
      <c r="F26" s="24"/>
      <c r="G26" s="24"/>
      <c r="H26" s="24"/>
      <c r="I26" s="25"/>
    </row>
    <row r="27" spans="1:9" ht="13.5">
      <c r="A27" s="15"/>
      <c r="B27" s="102" t="s">
        <v>85</v>
      </c>
      <c r="C27" s="103">
        <f aca="true" t="shared" si="1" ref="C27:I27">SUM(C24:C26)</f>
        <v>-125000</v>
      </c>
      <c r="D27" s="77">
        <f t="shared" si="1"/>
        <v>-131250</v>
      </c>
      <c r="E27" s="77">
        <f t="shared" si="1"/>
        <v>-434453.90625</v>
      </c>
      <c r="F27" s="103">
        <f t="shared" si="1"/>
        <v>-502934.7032226566</v>
      </c>
      <c r="G27" s="103">
        <f t="shared" si="1"/>
        <v>-582209.7858181279</v>
      </c>
      <c r="H27" s="103">
        <f t="shared" si="1"/>
        <v>-673980.603307711</v>
      </c>
      <c r="I27" s="129">
        <f t="shared" si="1"/>
        <v>-780216.7959040878</v>
      </c>
    </row>
    <row r="28" spans="1:9" ht="13.5">
      <c r="A28" s="15"/>
      <c r="B28" s="98"/>
      <c r="C28" s="24"/>
      <c r="D28" s="24"/>
      <c r="E28" s="24"/>
      <c r="F28" s="24"/>
      <c r="G28" s="24"/>
      <c r="H28" s="24"/>
      <c r="I28" s="25"/>
    </row>
    <row r="29" spans="1:9" ht="13.5">
      <c r="A29" s="15"/>
      <c r="B29" s="99" t="s">
        <v>86</v>
      </c>
      <c r="C29" s="100"/>
      <c r="D29" s="100"/>
      <c r="E29" s="100"/>
      <c r="F29" s="100"/>
      <c r="G29" s="100"/>
      <c r="H29" s="100"/>
      <c r="I29" s="128"/>
    </row>
    <row r="30" spans="1:9" ht="12">
      <c r="A30" s="15"/>
      <c r="B30" s="101" t="s">
        <v>87</v>
      </c>
      <c r="C30" s="24"/>
      <c r="D30" s="24"/>
      <c r="E30" s="24"/>
      <c r="F30" s="24"/>
      <c r="G30" s="24"/>
      <c r="H30" s="24"/>
      <c r="I30" s="25"/>
    </row>
    <row r="31" spans="1:9" ht="12">
      <c r="A31" s="15"/>
      <c r="B31" s="101" t="s">
        <v>88</v>
      </c>
      <c r="C31" s="24"/>
      <c r="D31" s="24"/>
      <c r="E31" s="24"/>
      <c r="F31" s="24"/>
      <c r="G31" s="24"/>
      <c r="H31" s="24"/>
      <c r="I31" s="25"/>
    </row>
    <row r="32" spans="1:9" ht="12">
      <c r="A32" s="15"/>
      <c r="B32" s="101" t="s">
        <v>89</v>
      </c>
      <c r="C32" s="24"/>
      <c r="D32" s="24"/>
      <c r="E32" s="24"/>
      <c r="F32" s="24"/>
      <c r="G32" s="24"/>
      <c r="H32" s="24"/>
      <c r="I32" s="25"/>
    </row>
    <row r="33" spans="1:9" ht="12">
      <c r="A33" s="15"/>
      <c r="B33" s="101" t="s">
        <v>90</v>
      </c>
      <c r="C33" s="24"/>
      <c r="D33" s="24"/>
      <c r="E33" s="24"/>
      <c r="F33" s="24"/>
      <c r="G33" s="24"/>
      <c r="H33" s="24"/>
      <c r="I33" s="25"/>
    </row>
    <row r="34" spans="1:9" ht="12">
      <c r="A34" s="15"/>
      <c r="B34" s="101" t="s">
        <v>91</v>
      </c>
      <c r="C34" s="24"/>
      <c r="D34" s="24"/>
      <c r="E34" s="24"/>
      <c r="F34" s="24"/>
      <c r="G34" s="24"/>
      <c r="H34" s="24"/>
      <c r="I34" s="25"/>
    </row>
    <row r="35" spans="1:9" ht="13.5">
      <c r="A35" s="104"/>
      <c r="B35" s="102" t="s">
        <v>92</v>
      </c>
      <c r="C35" s="105">
        <f aca="true" t="shared" si="2" ref="C35:H35">SUM(C30:C34)</f>
        <v>0</v>
      </c>
      <c r="D35" s="105">
        <f t="shared" si="2"/>
        <v>0</v>
      </c>
      <c r="E35" s="105">
        <f t="shared" si="2"/>
        <v>0</v>
      </c>
      <c r="F35" s="105">
        <f t="shared" si="2"/>
        <v>0</v>
      </c>
      <c r="G35" s="105">
        <f t="shared" si="2"/>
        <v>0</v>
      </c>
      <c r="H35" s="105">
        <f t="shared" si="2"/>
        <v>0</v>
      </c>
      <c r="I35" s="130"/>
    </row>
    <row r="36" spans="1:9" ht="13.5">
      <c r="A36" s="15"/>
      <c r="B36" s="98"/>
      <c r="C36" s="24"/>
      <c r="D36" s="24"/>
      <c r="E36" s="24"/>
      <c r="F36" s="24"/>
      <c r="G36" s="24"/>
      <c r="H36" s="24"/>
      <c r="I36" s="25"/>
    </row>
    <row r="37" spans="1:9" ht="12.75">
      <c r="A37" s="15"/>
      <c r="B37" s="106" t="s">
        <v>93</v>
      </c>
      <c r="C37" s="107">
        <f aca="true" t="shared" si="3" ref="C37:I37">C35+C27+C21</f>
        <v>-2788322.9</v>
      </c>
      <c r="D37" s="107">
        <f t="shared" si="3"/>
        <v>-2204224.083333333</v>
      </c>
      <c r="E37" s="107">
        <f t="shared" si="3"/>
        <v>-5807026.056249999</v>
      </c>
      <c r="F37" s="107">
        <f t="shared" si="3"/>
        <v>-6272930.673222657</v>
      </c>
      <c r="G37" s="107">
        <f t="shared" si="3"/>
        <v>-5723457.16811146</v>
      </c>
      <c r="H37" s="107">
        <f t="shared" si="3"/>
        <v>-3359832.5661772564</v>
      </c>
      <c r="I37" s="131">
        <f t="shared" si="3"/>
        <v>-942002.2365426598</v>
      </c>
    </row>
    <row r="38" spans="1:9" ht="12.75" thickBot="1">
      <c r="A38" s="15"/>
      <c r="B38" s="108" t="s">
        <v>102</v>
      </c>
      <c r="C38" s="109">
        <v>21000000</v>
      </c>
      <c r="D38" s="109">
        <f aca="true" t="shared" si="4" ref="D38:I38">C39</f>
        <v>18211677.1</v>
      </c>
      <c r="E38" s="109">
        <f t="shared" si="4"/>
        <v>16007453.01666667</v>
      </c>
      <c r="F38" s="109">
        <f t="shared" si="4"/>
        <v>10200426.96041667</v>
      </c>
      <c r="G38" s="109">
        <f t="shared" si="4"/>
        <v>3927496.2871940136</v>
      </c>
      <c r="H38" s="109">
        <f t="shared" si="4"/>
        <v>-1795960.8809174467</v>
      </c>
      <c r="I38" s="132">
        <f t="shared" si="4"/>
        <v>-5155793.447094703</v>
      </c>
    </row>
    <row r="39" spans="1:9" ht="13.5" thickBot="1">
      <c r="A39" s="15"/>
      <c r="B39" s="110" t="s">
        <v>103</v>
      </c>
      <c r="C39" s="111">
        <f aca="true" t="shared" si="5" ref="C39:I39">C37+C38</f>
        <v>18211677.1</v>
      </c>
      <c r="D39" s="111">
        <f>D37+D38</f>
        <v>16007453.01666667</v>
      </c>
      <c r="E39" s="111">
        <f t="shared" si="5"/>
        <v>10200426.96041667</v>
      </c>
      <c r="F39" s="111">
        <f t="shared" si="5"/>
        <v>3927496.2871940136</v>
      </c>
      <c r="G39" s="111">
        <f t="shared" si="5"/>
        <v>-1795960.8809174467</v>
      </c>
      <c r="H39" s="111">
        <f t="shared" si="5"/>
        <v>-5155793.447094703</v>
      </c>
      <c r="I39" s="133">
        <f t="shared" si="5"/>
        <v>-6097795.683637363</v>
      </c>
    </row>
    <row r="40" spans="1:9" ht="12">
      <c r="A40" s="12"/>
      <c r="B40" s="12"/>
      <c r="C40" s="112"/>
      <c r="D40" s="112"/>
      <c r="E40" s="24"/>
      <c r="F40" s="24"/>
      <c r="G40" s="24"/>
      <c r="H40" s="24"/>
      <c r="I40" s="24"/>
    </row>
    <row r="41" spans="3:9" ht="12">
      <c r="C41" s="124">
        <f>+C39-'CF'!C39</f>
        <v>0</v>
      </c>
      <c r="D41" s="124">
        <f>+D39-'CF'!D39</f>
        <v>0</v>
      </c>
      <c r="E41" s="124">
        <f>+E39-'CF'!G39</f>
        <v>0</v>
      </c>
      <c r="F41" s="124">
        <f>+F39-'CF'!J39</f>
        <v>0</v>
      </c>
      <c r="G41" s="124">
        <f>+G39-'CF'!M39</f>
        <v>0</v>
      </c>
      <c r="H41" s="124">
        <f>+H39-'CF'!P39</f>
        <v>0</v>
      </c>
      <c r="I41" s="124">
        <f>+I39-'CF'!S39</f>
        <v>0</v>
      </c>
    </row>
  </sheetData>
  <sheetProtection/>
  <printOptions/>
  <pageMargins left="0.75" right="0.5" top="1" bottom="1" header="0.5" footer="0.5"/>
  <pageSetup fitToHeight="1" fitToWidth="1" horizontalDpi="300" verticalDpi="300" orientation="landscape" scale="74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2021-11-04T20:28:29Z</dcterms:created>
  <dcterms:modified xsi:type="dcterms:W3CDTF">2021-11-04T20:28:48Z</dcterms:modified>
  <cp:category/>
  <cp:version/>
  <cp:contentType/>
  <cp:contentStatus/>
</cp:coreProperties>
</file>