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250"/>
  </bookViews>
  <sheets>
    <sheet name="BS" sheetId="3" r:id="rId1"/>
    <sheet name="IS" sheetId="6" r:id="rId2"/>
    <sheet name="CF" sheetId="4" r:id="rId3"/>
    <sheet name="TB" sheetId="1" r:id="rId4"/>
    <sheet name="TB jan 2013" sheetId="5" state="hidden" r:id="rId5"/>
  </sheets>
  <externalReferences>
    <externalReference r:id="rId6"/>
  </externalReferences>
  <definedNames>
    <definedName name="Z_2AE572EE_DDBC_4BF5_9EAE_AE9315A8CDD8_.wvu.PrintArea" localSheetId="1" hidden="1">IS!$A$1:$K$8</definedName>
    <definedName name="Z_2C4758C2_E8B3_4D03_BE35_769B97CDDCC7_.wvu.PrintArea" localSheetId="1" hidden="1">IS!$A$1:$K$8</definedName>
    <definedName name="Z_46F976B5_C9D8_4621_939D_CB54A1F78793_.wvu.PrintArea" localSheetId="1" hidden="1">IS!$A$1:$K$8</definedName>
  </definedNames>
  <calcPr calcId="145621"/>
</workbook>
</file>

<file path=xl/calcChain.xml><?xml version="1.0" encoding="utf-8"?>
<calcChain xmlns="http://schemas.openxmlformats.org/spreadsheetml/2006/main">
  <c r="C25" i="3" l="1"/>
  <c r="C21" i="3"/>
  <c r="E21" i="3"/>
  <c r="B11" i="4"/>
  <c r="E25" i="3"/>
  <c r="P5" i="1"/>
  <c r="O5" i="1"/>
  <c r="Q5" i="1"/>
  <c r="N79" i="1"/>
  <c r="O79" i="1" s="1"/>
  <c r="F79" i="1"/>
  <c r="C26" i="3"/>
  <c r="K5" i="6" l="1"/>
  <c r="I5" i="6"/>
  <c r="M8" i="6"/>
  <c r="I7" i="6"/>
  <c r="I6" i="6"/>
  <c r="K7" i="6"/>
  <c r="K6" i="6"/>
  <c r="K8" i="6" l="1"/>
  <c r="I8" i="6"/>
  <c r="P50" i="1"/>
  <c r="B9" i="4" l="1"/>
  <c r="B24" i="4"/>
  <c r="B28" i="4" s="1"/>
  <c r="C33" i="3"/>
  <c r="C32" i="3"/>
  <c r="C31" i="3"/>
  <c r="C28" i="3"/>
  <c r="C27" i="3"/>
  <c r="C22" i="3"/>
  <c r="C20" i="3"/>
  <c r="C14" i="3"/>
  <c r="C11" i="3"/>
  <c r="C10" i="3"/>
  <c r="C8" i="3"/>
  <c r="H163" i="5"/>
  <c r="H162" i="5"/>
  <c r="H174" i="5"/>
  <c r="H171" i="5"/>
  <c r="H161" i="5"/>
  <c r="H173" i="5"/>
  <c r="H168" i="5"/>
  <c r="H167" i="5"/>
  <c r="H169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72" i="5"/>
  <c r="H138" i="5"/>
  <c r="H170" i="5"/>
  <c r="H137" i="5"/>
  <c r="H136" i="5"/>
  <c r="H135" i="5"/>
  <c r="H134" i="5"/>
  <c r="H133" i="5"/>
  <c r="H132" i="5"/>
  <c r="H131" i="5"/>
  <c r="H165" i="5"/>
  <c r="H130" i="5"/>
  <c r="H129" i="5"/>
  <c r="H128" i="5"/>
  <c r="H166" i="5"/>
  <c r="H127" i="5"/>
  <c r="H126" i="5"/>
  <c r="H125" i="5"/>
  <c r="H124" i="5"/>
  <c r="H123" i="5"/>
  <c r="H122" i="5"/>
  <c r="H121" i="5"/>
  <c r="H120" i="5"/>
  <c r="E119" i="5"/>
  <c r="H119" i="5" s="1"/>
  <c r="H118" i="5"/>
  <c r="H117" i="5"/>
  <c r="H116" i="5"/>
  <c r="H115" i="5"/>
  <c r="H114" i="5"/>
  <c r="H113" i="5"/>
  <c r="H112" i="5"/>
  <c r="H111" i="5"/>
  <c r="H110" i="5"/>
  <c r="H109" i="5"/>
  <c r="H108" i="5"/>
  <c r="H164" i="5"/>
  <c r="H107" i="5"/>
  <c r="H106" i="5"/>
  <c r="H105" i="5"/>
  <c r="H104" i="5"/>
  <c r="H103" i="5"/>
  <c r="H102" i="5"/>
  <c r="H101" i="5"/>
  <c r="D100" i="5"/>
  <c r="H100" i="5" s="1"/>
  <c r="D99" i="5"/>
  <c r="H99" i="5" s="1"/>
  <c r="D98" i="5"/>
  <c r="H98" i="5" s="1"/>
  <c r="D97" i="5"/>
  <c r="H97" i="5" s="1"/>
  <c r="D96" i="5"/>
  <c r="H96" i="5" s="1"/>
  <c r="D95" i="5"/>
  <c r="H95" i="5" s="1"/>
  <c r="D94" i="5"/>
  <c r="H94" i="5" s="1"/>
  <c r="D93" i="5"/>
  <c r="H93" i="5" s="1"/>
  <c r="D92" i="5"/>
  <c r="H92" i="5" s="1"/>
  <c r="D91" i="5"/>
  <c r="H91" i="5" s="1"/>
  <c r="D90" i="5"/>
  <c r="H90" i="5" s="1"/>
  <c r="D89" i="5"/>
  <c r="H89" i="5" s="1"/>
  <c r="D88" i="5"/>
  <c r="H88" i="5" s="1"/>
  <c r="D87" i="5"/>
  <c r="H87" i="5" s="1"/>
  <c r="D86" i="5"/>
  <c r="H86" i="5" s="1"/>
  <c r="D85" i="5"/>
  <c r="H85" i="5" s="1"/>
  <c r="D84" i="5"/>
  <c r="H84" i="5" s="1"/>
  <c r="D83" i="5"/>
  <c r="H83" i="5" s="1"/>
  <c r="D82" i="5"/>
  <c r="H82" i="5" s="1"/>
  <c r="D81" i="5"/>
  <c r="H81" i="5" s="1"/>
  <c r="D80" i="5"/>
  <c r="H80" i="5" s="1"/>
  <c r="D79" i="5"/>
  <c r="H79" i="5" s="1"/>
  <c r="D78" i="5"/>
  <c r="H78" i="5" s="1"/>
  <c r="D77" i="5"/>
  <c r="H77" i="5" s="1"/>
  <c r="D76" i="5"/>
  <c r="H76" i="5" s="1"/>
  <c r="D75" i="5"/>
  <c r="H75" i="5" s="1"/>
  <c r="D74" i="5"/>
  <c r="H74" i="5" s="1"/>
  <c r="D73" i="5"/>
  <c r="H73" i="5" s="1"/>
  <c r="D72" i="5"/>
  <c r="H72" i="5" s="1"/>
  <c r="D71" i="5"/>
  <c r="H71" i="5" s="1"/>
  <c r="D70" i="5"/>
  <c r="H70" i="5" s="1"/>
  <c r="D69" i="5"/>
  <c r="H69" i="5" s="1"/>
  <c r="D68" i="5"/>
  <c r="H68" i="5" s="1"/>
  <c r="D67" i="5"/>
  <c r="H67" i="5" s="1"/>
  <c r="D66" i="5"/>
  <c r="H66" i="5" s="1"/>
  <c r="D65" i="5"/>
  <c r="H65" i="5" s="1"/>
  <c r="D64" i="5"/>
  <c r="H64" i="5" s="1"/>
  <c r="D63" i="5"/>
  <c r="H63" i="5" s="1"/>
  <c r="D62" i="5"/>
  <c r="H62" i="5" s="1"/>
  <c r="D61" i="5"/>
  <c r="H61" i="5" s="1"/>
  <c r="D60" i="5"/>
  <c r="H60" i="5" s="1"/>
  <c r="D59" i="5"/>
  <c r="H59" i="5" s="1"/>
  <c r="D58" i="5"/>
  <c r="H58" i="5" s="1"/>
  <c r="D57" i="5"/>
  <c r="H57" i="5" s="1"/>
  <c r="D56" i="5"/>
  <c r="H56" i="5" s="1"/>
  <c r="D55" i="5"/>
  <c r="H55" i="5" s="1"/>
  <c r="D54" i="5"/>
  <c r="H54" i="5" s="1"/>
  <c r="D53" i="5"/>
  <c r="H53" i="5" s="1"/>
  <c r="D52" i="5"/>
  <c r="H52" i="5" s="1"/>
  <c r="D51" i="5"/>
  <c r="H51" i="5" s="1"/>
  <c r="D50" i="5"/>
  <c r="H50" i="5" s="1"/>
  <c r="D49" i="5"/>
  <c r="H49" i="5" s="1"/>
  <c r="D48" i="5"/>
  <c r="H48" i="5" s="1"/>
  <c r="D47" i="5"/>
  <c r="H47" i="5" s="1"/>
  <c r="D46" i="5"/>
  <c r="H46" i="5" s="1"/>
  <c r="D45" i="5"/>
  <c r="H45" i="5" s="1"/>
  <c r="D44" i="5"/>
  <c r="H44" i="5" s="1"/>
  <c r="D43" i="5"/>
  <c r="H43" i="5" s="1"/>
  <c r="D42" i="5"/>
  <c r="H42" i="5" s="1"/>
  <c r="D41" i="5"/>
  <c r="H41" i="5" s="1"/>
  <c r="D40" i="5"/>
  <c r="H40" i="5" s="1"/>
  <c r="D39" i="5"/>
  <c r="H39" i="5" s="1"/>
  <c r="D38" i="5"/>
  <c r="H38" i="5" s="1"/>
  <c r="D37" i="5"/>
  <c r="H37" i="5" s="1"/>
  <c r="D36" i="5"/>
  <c r="H36" i="5" s="1"/>
  <c r="D35" i="5"/>
  <c r="H35" i="5" s="1"/>
  <c r="D34" i="5"/>
  <c r="H34" i="5" s="1"/>
  <c r="D33" i="5"/>
  <c r="H33" i="5" s="1"/>
  <c r="D32" i="5"/>
  <c r="H32" i="5" s="1"/>
  <c r="D31" i="5"/>
  <c r="H31" i="5" s="1"/>
  <c r="D30" i="5"/>
  <c r="H30" i="5" s="1"/>
  <c r="D29" i="5"/>
  <c r="H29" i="5" s="1"/>
  <c r="D28" i="5"/>
  <c r="H28" i="5" s="1"/>
  <c r="D27" i="5"/>
  <c r="H27" i="5" s="1"/>
  <c r="D26" i="5"/>
  <c r="H26" i="5" s="1"/>
  <c r="D25" i="5"/>
  <c r="C25" i="5"/>
  <c r="D24" i="5"/>
  <c r="H24" i="5" s="1"/>
  <c r="D23" i="5"/>
  <c r="H23" i="5" s="1"/>
  <c r="D22" i="5"/>
  <c r="H22" i="5" s="1"/>
  <c r="D21" i="5"/>
  <c r="H21" i="5" s="1"/>
  <c r="D20" i="5"/>
  <c r="H20" i="5" s="1"/>
  <c r="F19" i="5"/>
  <c r="D19" i="5"/>
  <c r="D18" i="5"/>
  <c r="H18" i="5" s="1"/>
  <c r="D17" i="5"/>
  <c r="H17" i="5" s="1"/>
  <c r="D16" i="5"/>
  <c r="H16" i="5" s="1"/>
  <c r="D15" i="5"/>
  <c r="H15" i="5" s="1"/>
  <c r="D14" i="5"/>
  <c r="H14" i="5" s="1"/>
  <c r="D13" i="5"/>
  <c r="H13" i="5" s="1"/>
  <c r="D12" i="5"/>
  <c r="H12" i="5" s="1"/>
  <c r="D11" i="5"/>
  <c r="H11" i="5" s="1"/>
  <c r="D10" i="5"/>
  <c r="H10" i="5" s="1"/>
  <c r="C12" i="3" l="1"/>
  <c r="C23" i="3"/>
  <c r="C34" i="3"/>
  <c r="C29" i="3"/>
  <c r="H19" i="5"/>
  <c r="H25" i="5"/>
  <c r="C24" i="4"/>
  <c r="C31" i="4"/>
  <c r="C16" i="3" l="1"/>
  <c r="C28" i="4"/>
  <c r="C36" i="3"/>
  <c r="C21" i="4"/>
  <c r="F34" i="3" l="1"/>
  <c r="F23" i="3"/>
  <c r="F29" i="3" s="1"/>
  <c r="F12" i="3"/>
  <c r="F16" i="3" s="1"/>
  <c r="J81" i="1"/>
  <c r="J97" i="1" s="1"/>
  <c r="I197" i="1"/>
  <c r="F36" i="3" l="1"/>
  <c r="N9" i="1" l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23" i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2" i="1"/>
  <c r="O62" i="1" s="1"/>
  <c r="N63" i="1"/>
  <c r="O63" i="1" s="1"/>
  <c r="E20" i="3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E27" i="3" s="1"/>
  <c r="N77" i="1"/>
  <c r="O77" i="1" s="1"/>
  <c r="N78" i="1"/>
  <c r="O78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101" i="1"/>
  <c r="O101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C9" i="4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8" i="1"/>
  <c r="O8" i="1" s="1"/>
  <c r="D23" i="1"/>
  <c r="O23" i="1" s="1"/>
  <c r="L17" i="1"/>
  <c r="N17" i="1" s="1"/>
  <c r="O17" i="1" s="1"/>
  <c r="E10" i="3" s="1"/>
  <c r="K18" i="1"/>
  <c r="C14" i="4" l="1"/>
  <c r="B14" i="4"/>
  <c r="C13" i="4"/>
  <c r="B13" i="4"/>
  <c r="C16" i="4"/>
  <c r="B16" i="4"/>
  <c r="E28" i="3"/>
  <c r="E22" i="3"/>
  <c r="E11" i="3"/>
  <c r="E8" i="3"/>
  <c r="B31" i="4" s="1"/>
  <c r="E32" i="3"/>
  <c r="E14" i="3"/>
  <c r="B20" i="4" s="1"/>
  <c r="N18" i="1"/>
  <c r="O18" i="1" s="1"/>
  <c r="E60" i="1"/>
  <c r="K22" i="1"/>
  <c r="K21" i="1"/>
  <c r="K20" i="1"/>
  <c r="K19" i="1"/>
  <c r="E61" i="1"/>
  <c r="B21" i="4" l="1"/>
  <c r="C15" i="4"/>
  <c r="B15" i="4"/>
  <c r="C12" i="4"/>
  <c r="B12" i="4"/>
  <c r="E23" i="3"/>
  <c r="E12" i="3"/>
  <c r="E16" i="3" s="1"/>
  <c r="E29" i="3"/>
  <c r="N19" i="1"/>
  <c r="O19" i="1" s="1"/>
  <c r="N21" i="1"/>
  <c r="O21" i="1" s="1"/>
  <c r="N60" i="1"/>
  <c r="O60" i="1" s="1"/>
  <c r="E86" i="1"/>
  <c r="N61" i="1"/>
  <c r="O61" i="1" s="1"/>
  <c r="N20" i="1"/>
  <c r="O20" i="1" s="1"/>
  <c r="N22" i="1"/>
  <c r="O22" i="1" s="1"/>
  <c r="E99" i="1"/>
  <c r="K141" i="1"/>
  <c r="N141" i="1" l="1"/>
  <c r="O141" i="1" s="1"/>
  <c r="N86" i="1"/>
  <c r="O86" i="1" s="1"/>
  <c r="E31" i="3" s="1"/>
  <c r="N99" i="1"/>
  <c r="O99" i="1" s="1"/>
  <c r="E33" i="3" s="1"/>
  <c r="C6" i="4" l="1"/>
  <c r="B6" i="4"/>
  <c r="C17" i="4"/>
  <c r="C30" i="4" s="1"/>
  <c r="C32" i="4" s="1"/>
  <c r="B17" i="4"/>
  <c r="E34" i="3"/>
  <c r="E36" i="3" s="1"/>
  <c r="N5" i="1"/>
  <c r="B30" i="4" l="1"/>
  <c r="B32" i="4" s="1"/>
</calcChain>
</file>

<file path=xl/sharedStrings.xml><?xml version="1.0" encoding="utf-8"?>
<sst xmlns="http://schemas.openxmlformats.org/spreadsheetml/2006/main" count="488" uniqueCount="308">
  <si>
    <t>Theranos, Inc</t>
  </si>
  <si>
    <t>Account</t>
  </si>
  <si>
    <t>Description</t>
  </si>
  <si>
    <t>Adjust</t>
  </si>
  <si>
    <t>---------------------</t>
  </si>
  <si>
    <t>-- ------------------------</t>
  </si>
  <si>
    <t>------</t>
  </si>
  <si>
    <t>SVB - Checking (Global)</t>
  </si>
  <si>
    <t>Cash- CoAmerica Checking</t>
  </si>
  <si>
    <t>Cash - Morgan Stanley</t>
  </si>
  <si>
    <t>Cash - Fidelity</t>
  </si>
  <si>
    <t>Petty cash</t>
  </si>
  <si>
    <t>Short Term Inv - MS</t>
  </si>
  <si>
    <t>Short term Inv - Fidelit</t>
  </si>
  <si>
    <t>A/R Trade</t>
  </si>
  <si>
    <t>Intercompany receivable</t>
  </si>
  <si>
    <t>RM - Chemicals</t>
  </si>
  <si>
    <t>RM - Cartridges</t>
  </si>
  <si>
    <t>WIP - Chemicals</t>
  </si>
  <si>
    <t>WIP - Cartridges</t>
  </si>
  <si>
    <t>FG - Theranos</t>
  </si>
  <si>
    <t>Prepaid General - ST</t>
  </si>
  <si>
    <t>Prepaid Insurance - ST</t>
  </si>
  <si>
    <t>Prepaid Rent - ST</t>
  </si>
  <si>
    <t>Prepaid Property Taxes</t>
  </si>
  <si>
    <t>Prepaid For Amortization</t>
  </si>
  <si>
    <t>Interest Receivable</t>
  </si>
  <si>
    <t>Other Receivables</t>
  </si>
  <si>
    <t>Other receivable-clients</t>
  </si>
  <si>
    <t>Manual Payroll Check</t>
  </si>
  <si>
    <t>Deposits - ST</t>
  </si>
  <si>
    <t>Deposit - Retainer (Pat)</t>
  </si>
  <si>
    <t>Deposit - Jet</t>
  </si>
  <si>
    <t>FA-Machines &amp; Equipment</t>
  </si>
  <si>
    <t>FA-Manufacturing Machine</t>
  </si>
  <si>
    <t>FA-CLIA Machine</t>
  </si>
  <si>
    <t>FA-Office Equipment</t>
  </si>
  <si>
    <t>FA-furniture &amp; fixtures</t>
  </si>
  <si>
    <t>FA-Computer Hardware</t>
  </si>
  <si>
    <t>FA-Computer software</t>
  </si>
  <si>
    <t>FA-Leasehold Improvement</t>
  </si>
  <si>
    <t>FA - Vehicle</t>
  </si>
  <si>
    <t>FA - Manufactured Device</t>
  </si>
  <si>
    <t>FA - M&amp;E WIP</t>
  </si>
  <si>
    <t>FA - Office Eqt WIP</t>
  </si>
  <si>
    <t>FA - Computer S/W WIP</t>
  </si>
  <si>
    <t>FA - Leasehold Imp WIP</t>
  </si>
  <si>
    <t>FA-CLIA Machine WIP</t>
  </si>
  <si>
    <t>A/D Machines &amp; Equipment</t>
  </si>
  <si>
    <t>A/D - Manuf Machinery</t>
  </si>
  <si>
    <t>A/D CLIA Machine</t>
  </si>
  <si>
    <t>A/D Office Equipment</t>
  </si>
  <si>
    <t>A/D Furniture &amp; Fixtures</t>
  </si>
  <si>
    <t>A/D Computer Hardware</t>
  </si>
  <si>
    <t>A/D Computer Software</t>
  </si>
  <si>
    <t>A/DLeasehold improvement</t>
  </si>
  <si>
    <t>A/D Manufactured Device</t>
  </si>
  <si>
    <t>Restricted LT investment</t>
  </si>
  <si>
    <t>Note Receivable - LT</t>
  </si>
  <si>
    <t>Interest receivable - LT</t>
  </si>
  <si>
    <t>Deposits - LT</t>
  </si>
  <si>
    <t>Accounts Payable Trade</t>
  </si>
  <si>
    <t>Intercompany Payable</t>
  </si>
  <si>
    <t>PO Receipts - Inventory</t>
  </si>
  <si>
    <t>PO Receipts - Expenses</t>
  </si>
  <si>
    <t>AP Accrual</t>
  </si>
  <si>
    <t>Accrued Payroll</t>
  </si>
  <si>
    <t>Accrued Vacation</t>
  </si>
  <si>
    <t>Accrued P/R Taxes</t>
  </si>
  <si>
    <t>Accrued 401(K)</t>
  </si>
  <si>
    <t>Accrued Flex Spending</t>
  </si>
  <si>
    <t>Accrued Sales &amp; Used Tax</t>
  </si>
  <si>
    <t>Accrued use tax - Vendor</t>
  </si>
  <si>
    <t>Deferred Rents - ST</t>
  </si>
  <si>
    <t>Refundable Options</t>
  </si>
  <si>
    <t>Pref Stock Warrant Liab</t>
  </si>
  <si>
    <t>Deferred Revenues</t>
  </si>
  <si>
    <t>Short-Term Debt</t>
  </si>
  <si>
    <t>Miscellaneous receipts</t>
  </si>
  <si>
    <t>Current Capital Leases</t>
  </si>
  <si>
    <t>Deferred Rent - LT</t>
  </si>
  <si>
    <t>Capital Lease Obligation</t>
  </si>
  <si>
    <t>Common stock</t>
  </si>
  <si>
    <t>Add'l PIC - C/S</t>
  </si>
  <si>
    <t>Series A Preferred stock</t>
  </si>
  <si>
    <t>Add'l PIC - Series A</t>
  </si>
  <si>
    <t>Series B - Pref stock</t>
  </si>
  <si>
    <t>Series B Issuance costs</t>
  </si>
  <si>
    <t>Add'l PIC - Series B</t>
  </si>
  <si>
    <t>Series C - Pref Stocks</t>
  </si>
  <si>
    <t>Series C - Issuance cost</t>
  </si>
  <si>
    <t>Add'l PIC - Series C</t>
  </si>
  <si>
    <t>Series C-1 Pref stocks</t>
  </si>
  <si>
    <t>Series C-1 Issuance cost</t>
  </si>
  <si>
    <t>Add'l PIC - Series C-1</t>
  </si>
  <si>
    <t>Unrealized gain/loss Inv</t>
  </si>
  <si>
    <t>Accum. Retained Earning</t>
  </si>
  <si>
    <t>Misc Revenue - OOP costs</t>
  </si>
  <si>
    <t>Laboratory test</t>
  </si>
  <si>
    <t>Freight charges</t>
  </si>
  <si>
    <t>Floor Stock - Cartridges</t>
  </si>
  <si>
    <t>Scrap Costs</t>
  </si>
  <si>
    <t>Method Variance</t>
  </si>
  <si>
    <t>PO Price Variance</t>
  </si>
  <si>
    <t>AP Variance</t>
  </si>
  <si>
    <t>Labor - Applied</t>
  </si>
  <si>
    <t>OH applied - Cartridges</t>
  </si>
  <si>
    <t>Cost of Production</t>
  </si>
  <si>
    <t>Salaries &amp; Wages</t>
  </si>
  <si>
    <t>Accrued vacation PTO</t>
  </si>
  <si>
    <t>Payroll Taxes</t>
  </si>
  <si>
    <t>Health Insurance</t>
  </si>
  <si>
    <t>Staff Welfare</t>
  </si>
  <si>
    <t>Other Fringe Beneftis</t>
  </si>
  <si>
    <t>Other benefits - mileage</t>
  </si>
  <si>
    <t>Other benefits - others</t>
  </si>
  <si>
    <t>Consulting Services</t>
  </si>
  <si>
    <t>Contractor/Temp InDirect</t>
  </si>
  <si>
    <t>Contractors/Temp Direct</t>
  </si>
  <si>
    <t>Depreciation Expense</t>
  </si>
  <si>
    <t>Telephone / Fax</t>
  </si>
  <si>
    <t>Facility Rental</t>
  </si>
  <si>
    <t>Facility Services</t>
  </si>
  <si>
    <t>Facility Utilities</t>
  </si>
  <si>
    <t>Facility Janitorial</t>
  </si>
  <si>
    <t>Facility Security</t>
  </si>
  <si>
    <t>Facility Repair/Maint</t>
  </si>
  <si>
    <t>Facility Fixtures</t>
  </si>
  <si>
    <t>Facility Licenses/permit</t>
  </si>
  <si>
    <t>Facility Network Comm</t>
  </si>
  <si>
    <t>Facility Insurance</t>
  </si>
  <si>
    <t>Facility Property Tax</t>
  </si>
  <si>
    <t>Other Facility Costs</t>
  </si>
  <si>
    <t>Facility - moving</t>
  </si>
  <si>
    <t>R&amp;D Materials</t>
  </si>
  <si>
    <t>QA &amp; Test Lab Expenses</t>
  </si>
  <si>
    <t>Clin/Dev EQT Rental</t>
  </si>
  <si>
    <t>Clinical Trial Expenses</t>
  </si>
  <si>
    <t>Purchased Parts</t>
  </si>
  <si>
    <t>Fabricated Parts</t>
  </si>
  <si>
    <t>NRE charge</t>
  </si>
  <si>
    <t>Catridge Supplies</t>
  </si>
  <si>
    <t>Reagents</t>
  </si>
  <si>
    <t>Antibodies</t>
  </si>
  <si>
    <t>Human Blood products</t>
  </si>
  <si>
    <t>Human body parts</t>
  </si>
  <si>
    <t>Chemicals</t>
  </si>
  <si>
    <t>Regulated Chemicals</t>
  </si>
  <si>
    <t>Software Tools</t>
  </si>
  <si>
    <t>Freight in - R&amp;D</t>
  </si>
  <si>
    <t>Shipping and Handling</t>
  </si>
  <si>
    <t>R&amp;D inventory</t>
  </si>
  <si>
    <t>Conference/Seminar/Train</t>
  </si>
  <si>
    <t>Advertising</t>
  </si>
  <si>
    <t>Graphic Design</t>
  </si>
  <si>
    <t>Market Research</t>
  </si>
  <si>
    <t>Study cost</t>
  </si>
  <si>
    <t>Account Services</t>
  </si>
  <si>
    <t>Auditing Services</t>
  </si>
  <si>
    <t>Tax Services</t>
  </si>
  <si>
    <t>Legal - General</t>
  </si>
  <si>
    <t>Legal - employment</t>
  </si>
  <si>
    <t>Legal - Litigation</t>
  </si>
  <si>
    <t>Legal - Patents</t>
  </si>
  <si>
    <t>Legal - Trademarks</t>
  </si>
  <si>
    <t>Legal - License</t>
  </si>
  <si>
    <t>Regulatory Submissions</t>
  </si>
  <si>
    <t>Legal - Regulatory</t>
  </si>
  <si>
    <t>Meals &amp; Entertainments</t>
  </si>
  <si>
    <t>Insurance - General</t>
  </si>
  <si>
    <t>Insurance - Prod Liab</t>
  </si>
  <si>
    <t>Expensed Equipment</t>
  </si>
  <si>
    <t>Expensed furn &amp; fixture</t>
  </si>
  <si>
    <t>Exp Eqt/computer Offsite</t>
  </si>
  <si>
    <t>Computer Supplies</t>
  </si>
  <si>
    <t>Computer supplies - LAN</t>
  </si>
  <si>
    <t>Expensed Software</t>
  </si>
  <si>
    <t>Software Maintenance</t>
  </si>
  <si>
    <t>Equipment supplies</t>
  </si>
  <si>
    <t>Office Supplies</t>
  </si>
  <si>
    <t>Office services</t>
  </si>
  <si>
    <t>Postage &amp; Delivery</t>
  </si>
  <si>
    <t>Dues, Subscriptn &amp; Books</t>
  </si>
  <si>
    <t>Annual Maint / License</t>
  </si>
  <si>
    <t>Equip Repair / Maint</t>
  </si>
  <si>
    <t>Equipment Lease / Rental</t>
  </si>
  <si>
    <t>Relocation Expenses</t>
  </si>
  <si>
    <t>Recruiting Expenses</t>
  </si>
  <si>
    <t>Bank Charges</t>
  </si>
  <si>
    <t>Travel Expense - Air</t>
  </si>
  <si>
    <t>Travel expense - Hotel</t>
  </si>
  <si>
    <t>Travel Expense - Auto</t>
  </si>
  <si>
    <t>Travel - Meals &amp; Entert</t>
  </si>
  <si>
    <t>Travel - Other</t>
  </si>
  <si>
    <t>Payroll Processing Fee</t>
  </si>
  <si>
    <t>Charitable Contributions</t>
  </si>
  <si>
    <t>Miscellaneous Expenses</t>
  </si>
  <si>
    <t>Other Outside Services</t>
  </si>
  <si>
    <t>Supplies for MFG / OPS</t>
  </si>
  <si>
    <t>Feight in - Non Inv</t>
  </si>
  <si>
    <t>Quality control</t>
  </si>
  <si>
    <t>Inventory (Exp)</t>
  </si>
  <si>
    <t>G&amp;A Allocation - Out</t>
  </si>
  <si>
    <t>G&amp;A Allocation - In</t>
  </si>
  <si>
    <t>Facility Allocation-Out</t>
  </si>
  <si>
    <t>Facility Allocation - In</t>
  </si>
  <si>
    <t>IT Allocation - Out</t>
  </si>
  <si>
    <t>IT Allocation - In</t>
  </si>
  <si>
    <t>Interest Income</t>
  </si>
  <si>
    <t>Interest expenses</t>
  </si>
  <si>
    <t>Other expenses</t>
  </si>
  <si>
    <t>Income tax - States</t>
  </si>
  <si>
    <t>CC allocation - Finance</t>
  </si>
  <si>
    <t>CC Allocation - Leona</t>
  </si>
  <si>
    <t>Suspense</t>
  </si>
  <si>
    <t>$'000</t>
  </si>
  <si>
    <t>Adjusment</t>
  </si>
  <si>
    <t>Remove inventory</t>
  </si>
  <si>
    <t>GMP inventory</t>
  </si>
  <si>
    <t>Total adj</t>
  </si>
  <si>
    <t>note receivable</t>
  </si>
  <si>
    <t>Q3 option</t>
  </si>
  <si>
    <t>Q4 option</t>
  </si>
  <si>
    <t>GMP Inventory</t>
  </si>
  <si>
    <t>Adj balance</t>
  </si>
  <si>
    <t>TB 12/31/2012</t>
  </si>
  <si>
    <t>(updated 02/11/13)</t>
  </si>
  <si>
    <t>Current assets</t>
  </si>
  <si>
    <t>Cash &amp; investment</t>
  </si>
  <si>
    <t>Inventory</t>
  </si>
  <si>
    <t>Other current assets</t>
  </si>
  <si>
    <t>Total current assets</t>
  </si>
  <si>
    <t>Plant &amp; Equipment</t>
  </si>
  <si>
    <t>Total Assets</t>
  </si>
  <si>
    <t>Current liabilities</t>
  </si>
  <si>
    <t>Accounts Payable</t>
  </si>
  <si>
    <t>Other current liabilities</t>
  </si>
  <si>
    <t>Total current liabilities</t>
  </si>
  <si>
    <t>Notes payable</t>
  </si>
  <si>
    <t>Repurchaseable shares</t>
  </si>
  <si>
    <t>Other long term liabilities</t>
  </si>
  <si>
    <t>Total liablities</t>
  </si>
  <si>
    <t>Preferred stock</t>
  </si>
  <si>
    <t>Accumulated deficit</t>
  </si>
  <si>
    <t>Total stockholder' equity</t>
  </si>
  <si>
    <t>Total liabilities and stockholders' equity</t>
  </si>
  <si>
    <t>Jet deposit</t>
  </si>
  <si>
    <t>C-1</t>
  </si>
  <si>
    <t>2011</t>
  </si>
  <si>
    <t>Revenue - Study</t>
  </si>
  <si>
    <t>COGS - Cartridges @ Std</t>
  </si>
  <si>
    <t>Freight - outbound</t>
  </si>
  <si>
    <t>Cost Revalue</t>
  </si>
  <si>
    <t>Web Site</t>
  </si>
  <si>
    <t>Travel expense - Air (J)</t>
  </si>
  <si>
    <t>Net loss</t>
  </si>
  <si>
    <t xml:space="preserve">Adjustments to reconcile net loss to net cash </t>
  </si>
  <si>
    <t>used in operating activities:</t>
  </si>
  <si>
    <t>Depreciation and amortization</t>
  </si>
  <si>
    <t>Changes in operating assets and liabilities:</t>
  </si>
  <si>
    <t>Prepaid expenses and other assets</t>
  </si>
  <si>
    <t>Accounts payable</t>
  </si>
  <si>
    <t>Accrued and other liabilities</t>
  </si>
  <si>
    <t>Net cash used in operating activities</t>
  </si>
  <si>
    <t>Investing activities</t>
  </si>
  <si>
    <t>Purchases of property and equipment</t>
  </si>
  <si>
    <t>Financing activities</t>
  </si>
  <si>
    <t>Proceeds from issuance of convertible preferred stock</t>
  </si>
  <si>
    <t xml:space="preserve">Proceeds from issuance of common stock upon </t>
  </si>
  <si>
    <t>exercise of stock options</t>
  </si>
  <si>
    <t>Net cash provided by financing activities</t>
  </si>
  <si>
    <t>Cash and cash equivalents at beginning of year</t>
  </si>
  <si>
    <t>Cash and cash equivalents at end of year</t>
  </si>
  <si>
    <t>Proceeds from issuance of notes payable</t>
  </si>
  <si>
    <t>Net cash used in investing activities</t>
  </si>
  <si>
    <t>gltbrp.p</t>
  </si>
  <si>
    <t>Page:</t>
  </si>
  <si>
    <t>Theranos</t>
  </si>
  <si>
    <t>pre-adj Balance</t>
  </si>
  <si>
    <t>2012 adj</t>
  </si>
  <si>
    <t>Adjusted balance</t>
  </si>
  <si>
    <t>Sales Commissions</t>
  </si>
  <si>
    <t>Purchased Software Modul</t>
  </si>
  <si>
    <t>Public Relations</t>
  </si>
  <si>
    <t>Expensed mold</t>
  </si>
  <si>
    <t>Computer Inventory</t>
  </si>
  <si>
    <t>CC Allocation - John K</t>
  </si>
  <si>
    <t>CC allocation - Sunny B</t>
  </si>
  <si>
    <t>CC Allocation - Edgar P</t>
  </si>
  <si>
    <t>CC Allocation - Jonathan</t>
  </si>
  <si>
    <t>CC Allocation-HR</t>
  </si>
  <si>
    <t>CC Allocation - Tim K</t>
  </si>
  <si>
    <t>2013 balance</t>
  </si>
  <si>
    <t>Net increase (decrease) in cash and cash equivalents</t>
  </si>
  <si>
    <t>THERANOS, INC. AND SUBSIDIARY</t>
  </si>
  <si>
    <t>Consolidated Statements of Operations</t>
  </si>
  <si>
    <t>$</t>
  </si>
  <si>
    <t>Operating loss</t>
  </si>
  <si>
    <t>Interest and other income, net</t>
  </si>
  <si>
    <t>Interest expense</t>
  </si>
  <si>
    <t>Consolidated Balance Sheets</t>
  </si>
  <si>
    <t>Year to date January 31, 2013 and years ended December 31, 2012</t>
  </si>
  <si>
    <t>Year to date January 31, 2013 and year ended December 31, 2012</t>
  </si>
  <si>
    <t>January 31, 2013 and December 31, 2012</t>
  </si>
  <si>
    <t>Note payable</t>
  </si>
  <si>
    <t>Accounts Receivable</t>
  </si>
  <si>
    <t>Deferred revenue</t>
  </si>
  <si>
    <t>Accounts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</si>
</sst>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&quot;$&quot;* #,##0_);_(&quot;$&quot;* \(#,##0\);_(&quot;$&quot;* &quot;-&quot;??_);_(@_)"/>
    <numFmt numFmtId="167" formatCode="_(&quot;$&quot;* #,##0_);_(&quot;$&quot;* \(#,##0\);_(&quot;$&quot;* &quot;–&quot;_);_(@_)"/>
    <numFmt numFmtId="168" formatCode="_(* #,##0_);_(* \(#,##0\);_(* &quot;–&quot;_);_(@_)"/>
    <numFmt numFmtId="169" formatCode="#,##0\ \ \ \ ;[Red]\(#,##0\)\ \ \ ;\—\ \ \ \ "/>
    <numFmt numFmtId="170" formatCode="#,##0\ \ \ ;[Red]\(#,##0\)\ \ ;\—\ \ \ \ "/>
    <numFmt numFmtId="171" formatCode="#,##0\ ;\(#,##0\);\-\ \ \ \ \ "/>
    <numFmt numFmtId="172" formatCode="#,##0\ ;\(#,##0\);\–\ \ \ \ \ "/>
    <numFmt numFmtId="173" formatCode="0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14"/>
      <name val="Arial"/>
      <family val="2"/>
    </font>
    <font>
      <sz val="10"/>
      <name val="Arial"/>
      <family val="2"/>
    </font>
    <font>
      <sz val="14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69" fontId="22" fillId="0" borderId="0"/>
    <xf numFmtId="170" fontId="24" fillId="0" borderId="0" applyFill="0" applyBorder="0" applyAlignment="0" applyProtection="0"/>
    <xf numFmtId="42" fontId="25" fillId="0" borderId="0" applyFont="0"/>
    <xf numFmtId="42" fontId="25" fillId="0" borderId="10" applyFont="0"/>
    <xf numFmtId="41" fontId="25" fillId="0" borderId="0" applyFont="0"/>
    <xf numFmtId="171" fontId="24" fillId="0" borderId="13" applyNumberFormat="0" applyFill="0" applyAlignment="0" applyProtection="0">
      <alignment horizontal="center"/>
    </xf>
    <xf numFmtId="172" fontId="24" fillId="0" borderId="11" applyFill="0" applyAlignment="0" applyProtection="0">
      <alignment horizontal="center"/>
    </xf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49" fontId="28" fillId="0" borderId="0">
      <alignment horizontal="centerContinuous"/>
    </xf>
    <xf numFmtId="173" fontId="25" fillId="0" borderId="0">
      <alignment horizontal="centerContinuous"/>
    </xf>
    <xf numFmtId="173" fontId="25" fillId="0" borderId="14">
      <alignment horizontal="center"/>
    </xf>
    <xf numFmtId="0" fontId="24" fillId="0" borderId="0" applyNumberFormat="0" applyFill="0" applyAlignment="0" applyProtection="0"/>
    <xf numFmtId="0" fontId="27" fillId="0" borderId="0"/>
    <xf numFmtId="9" fontId="27" fillId="0" borderId="0" applyFont="0" applyFill="0" applyBorder="0" applyAlignment="0" applyProtection="0"/>
    <xf numFmtId="0" fontId="24" fillId="0" borderId="11" applyNumberFormat="0" applyFill="0" applyAlignment="0" applyProtection="0"/>
  </cellStyleXfs>
  <cellXfs count="6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/>
    <xf numFmtId="164" fontId="0" fillId="0" borderId="0" xfId="1" applyNumberFormat="1" applyFont="1"/>
    <xf numFmtId="164" fontId="0" fillId="0" borderId="0" xfId="0" applyNumberFormat="1"/>
    <xf numFmtId="3" fontId="0" fillId="0" borderId="0" xfId="0" applyNumberFormat="1"/>
    <xf numFmtId="0" fontId="16" fillId="0" borderId="0" xfId="0" applyFont="1"/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66" fontId="0" fillId="0" borderId="0" xfId="2" applyNumberFormat="1" applyFont="1"/>
    <xf numFmtId="164" fontId="0" fillId="0" borderId="10" xfId="1" applyNumberFormat="1" applyFont="1" applyBorder="1"/>
    <xf numFmtId="0" fontId="0" fillId="0" borderId="0" xfId="0" applyFont="1" applyAlignment="1">
      <alignment horizontal="left" indent="1"/>
    </xf>
    <xf numFmtId="166" fontId="0" fillId="0" borderId="10" xfId="0" applyNumberFormat="1" applyBorder="1"/>
    <xf numFmtId="164" fontId="0" fillId="0" borderId="11" xfId="1" applyNumberFormat="1" applyFont="1" applyBorder="1"/>
    <xf numFmtId="164" fontId="0" fillId="0" borderId="0" xfId="1" applyNumberFormat="1" applyFont="1" applyBorder="1"/>
    <xf numFmtId="166" fontId="0" fillId="0" borderId="10" xfId="2" applyNumberFormat="1" applyFont="1" applyBorder="1"/>
    <xf numFmtId="166" fontId="0" fillId="0" borderId="0" xfId="0" applyNumberFormat="1"/>
    <xf numFmtId="9" fontId="0" fillId="0" borderId="0" xfId="3" applyFont="1"/>
    <xf numFmtId="0" fontId="0" fillId="0" borderId="0" xfId="0" quotePrefix="1"/>
    <xf numFmtId="0" fontId="20" fillId="0" borderId="0" xfId="45" applyFont="1" applyAlignment="1">
      <alignment horizontal="left"/>
    </xf>
    <xf numFmtId="167" fontId="21" fillId="0" borderId="0" xfId="45" applyNumberFormat="1" applyFont="1" applyBorder="1" applyAlignment="1" applyProtection="1"/>
    <xf numFmtId="168" fontId="21" fillId="0" borderId="0" xfId="45" applyNumberFormat="1" applyFont="1" applyBorder="1" applyAlignment="1" applyProtection="1"/>
    <xf numFmtId="0" fontId="20" fillId="0" borderId="0" xfId="45" applyFont="1" applyAlignment="1">
      <alignment horizontal="left" indent="1"/>
    </xf>
    <xf numFmtId="0" fontId="20" fillId="0" borderId="0" xfId="45" applyFont="1" applyAlignment="1">
      <alignment horizontal="left" indent="2"/>
    </xf>
    <xf numFmtId="168" fontId="21" fillId="0" borderId="0" xfId="45" applyNumberFormat="1" applyFont="1" applyFill="1" applyBorder="1" applyAlignment="1" applyProtection="1"/>
    <xf numFmtId="0" fontId="20" fillId="0" borderId="0" xfId="45" applyFont="1" applyAlignment="1">
      <alignment horizontal="left" indent="3"/>
    </xf>
    <xf numFmtId="0" fontId="20" fillId="0" borderId="0" xfId="45" quotePrefix="1" applyFont="1" applyAlignment="1">
      <alignment horizontal="left" indent="3"/>
    </xf>
    <xf numFmtId="168" fontId="21" fillId="0" borderId="11" xfId="45" applyNumberFormat="1" applyFont="1" applyBorder="1" applyAlignment="1" applyProtection="1"/>
    <xf numFmtId="168" fontId="21" fillId="0" borderId="0" xfId="45" applyNumberFormat="1" applyFont="1" applyAlignment="1"/>
    <xf numFmtId="0" fontId="21" fillId="0" borderId="0" xfId="45" applyFont="1" applyAlignment="1">
      <alignment horizontal="left"/>
    </xf>
    <xf numFmtId="0" fontId="20" fillId="0" borderId="0" xfId="45" quotePrefix="1" applyFont="1" applyAlignment="1">
      <alignment horizontal="left"/>
    </xf>
    <xf numFmtId="0" fontId="21" fillId="0" borderId="0" xfId="45" applyFont="1" applyAlignment="1">
      <alignment horizontal="left" indent="1"/>
    </xf>
    <xf numFmtId="164" fontId="21" fillId="0" borderId="0" xfId="46" applyNumberFormat="1" applyFont="1" applyBorder="1" applyAlignment="1"/>
    <xf numFmtId="168" fontId="21" fillId="0" borderId="0" xfId="45" applyNumberFormat="1" applyFont="1" applyBorder="1" applyAlignment="1"/>
    <xf numFmtId="168" fontId="21" fillId="0" borderId="12" xfId="45" applyNumberFormat="1" applyFont="1" applyBorder="1" applyAlignment="1"/>
    <xf numFmtId="0" fontId="20" fillId="0" borderId="0" xfId="45" applyFont="1" applyAlignment="1">
      <alignment horizontal="left" vertical="center"/>
    </xf>
    <xf numFmtId="167" fontId="21" fillId="0" borderId="10" xfId="45" applyNumberFormat="1" applyFont="1" applyBorder="1" applyAlignment="1">
      <alignment vertical="center"/>
    </xf>
    <xf numFmtId="17" fontId="16" fillId="0" borderId="0" xfId="0" applyNumberFormat="1" applyFont="1" applyAlignment="1">
      <alignment horizontal="center"/>
    </xf>
    <xf numFmtId="0" fontId="23" fillId="0" borderId="0" xfId="47" applyNumberFormat="1" applyFont="1" applyFill="1" applyAlignment="1">
      <alignment horizontal="centerContinuous"/>
    </xf>
    <xf numFmtId="0" fontId="24" fillId="0" borderId="0" xfId="47" applyNumberFormat="1" applyFont="1" applyFill="1" applyAlignment="1">
      <alignment horizontal="centerContinuous"/>
    </xf>
    <xf numFmtId="0" fontId="24" fillId="0" borderId="0" xfId="47" applyNumberFormat="1" applyFont="1" applyFill="1" applyAlignment="1"/>
    <xf numFmtId="0" fontId="23" fillId="0" borderId="11" xfId="47" applyNumberFormat="1" applyFont="1" applyFill="1" applyBorder="1" applyAlignment="1">
      <alignment horizontal="center"/>
    </xf>
    <xf numFmtId="0" fontId="23" fillId="0" borderId="0" xfId="47" applyNumberFormat="1" applyFont="1" applyFill="1" applyAlignment="1">
      <alignment horizontal="center"/>
    </xf>
    <xf numFmtId="0" fontId="24" fillId="0" borderId="0" xfId="47" applyNumberFormat="1" applyFont="1" applyFill="1" applyAlignment="1">
      <alignment horizontal="center"/>
    </xf>
    <xf numFmtId="170" fontId="24" fillId="0" borderId="0" xfId="48" applyFont="1" applyFill="1" applyBorder="1" applyAlignment="1"/>
    <xf numFmtId="0" fontId="24" fillId="0" borderId="0" xfId="47" applyNumberFormat="1" applyFont="1" applyFill="1" applyAlignment="1">
      <alignment horizontal="left"/>
    </xf>
    <xf numFmtId="170" fontId="24" fillId="0" borderId="11" xfId="48" applyFont="1" applyFill="1" applyBorder="1" applyAlignment="1"/>
    <xf numFmtId="170" fontId="24" fillId="0" borderId="10" xfId="48" applyFont="1" applyFill="1" applyBorder="1" applyAlignment="1"/>
    <xf numFmtId="0" fontId="23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/>
    <xf numFmtId="17" fontId="23" fillId="0" borderId="11" xfId="47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Continuous"/>
    </xf>
    <xf numFmtId="16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6" fontId="0" fillId="0" borderId="0" xfId="2" applyNumberFormat="1" applyFont="1" applyBorder="1"/>
    <xf numFmtId="0" fontId="0" fillId="0" borderId="0" xfId="0" applyBorder="1"/>
    <xf numFmtId="166" fontId="0" fillId="0" borderId="0" xfId="0" applyNumberFormat="1" applyBorder="1"/>
    <xf numFmtId="0" fontId="24" fillId="0" borderId="0" xfId="47" applyNumberFormat="1" applyFont="1" applyFill="1" applyBorder="1" applyAlignment="1">
      <alignment horizontal="left"/>
    </xf>
    <xf numFmtId="167" fontId="0" fillId="0" borderId="0" xfId="0" applyNumberFormat="1"/>
  </cellXfs>
  <cellStyles count="64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ccounting w/$" xfId="49"/>
    <cellStyle name="Accounting w/$ Total" xfId="50"/>
    <cellStyle name="Accounting w/o $" xfId="51"/>
    <cellStyle name="Bad" xfId="10" builtinId="27" customBuiltin="1"/>
    <cellStyle name="Bottom bold border" xfId="52"/>
    <cellStyle name="Bottom single border" xfId="53"/>
    <cellStyle name="Calculation" xfId="14" builtinId="22" customBuiltin="1"/>
    <cellStyle name="Check Cell" xfId="16" builtinId="23" customBuiltin="1"/>
    <cellStyle name="Comma" xfId="1" builtinId="3"/>
    <cellStyle name="Comma 2" xfId="46"/>
    <cellStyle name="Comma 3" xfId="54"/>
    <cellStyle name="Comma 4" xfId="55"/>
    <cellStyle name="Currency" xfId="2" builtinId="4"/>
    <cellStyle name="Currency 2" xfId="56"/>
    <cellStyle name="Explanatory Text" xfId="19" builtinId="53" customBuiltin="1"/>
    <cellStyle name="Good" xfId="9" builtinId="26" customBuiltin="1"/>
    <cellStyle name="Heading" xfId="57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eadingColumn" xfId="58"/>
    <cellStyle name="HeadingYear" xfId="59"/>
    <cellStyle name="Input" xfId="12" builtinId="20" customBuiltin="1"/>
    <cellStyle name="Linked Cell" xfId="15" builtinId="24" customBuiltin="1"/>
    <cellStyle name="Neutral" xfId="11" builtinId="28" customBuiltin="1"/>
    <cellStyle name="No Border" xfId="60"/>
    <cellStyle name="Normal" xfId="0" builtinId="0"/>
    <cellStyle name="Normal 2" xfId="45"/>
    <cellStyle name="Normal 3" xfId="47"/>
    <cellStyle name="Normal 4" xfId="61"/>
    <cellStyle name="Note" xfId="18" builtinId="10" customBuiltin="1"/>
    <cellStyle name="Number" xfId="48"/>
    <cellStyle name="Output" xfId="13" builtinId="21" customBuiltin="1"/>
    <cellStyle name="Percent" xfId="3" builtinId="5"/>
    <cellStyle name="Percent 2" xfId="62"/>
    <cellStyle name="Single Border" xfId="63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Department/5%20Bank%20and%20financial%20matters/2013/Financial%20Statements/TB%20013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dfin.16524"/>
      <sheetName val="Sheet1"/>
    </sheetNames>
    <sheetDataSet>
      <sheetData sheetId="0"/>
      <sheetData sheetId="1">
        <row r="1">
          <cell r="A1" t="str">
            <v>Theranos, Inc</v>
          </cell>
        </row>
        <row r="2">
          <cell r="A2" t="str">
            <v>TB 12/31/2012</v>
          </cell>
        </row>
        <row r="3">
          <cell r="A3" t="str">
            <v>(updated 02/11/13)</v>
          </cell>
        </row>
        <row r="5">
          <cell r="J5" t="str">
            <v>Adjusment</v>
          </cell>
          <cell r="M5">
            <v>0</v>
          </cell>
        </row>
        <row r="6">
          <cell r="A6" t="str">
            <v>Account</v>
          </cell>
          <cell r="B6" t="str">
            <v>Description</v>
          </cell>
          <cell r="C6" t="str">
            <v>Adjust</v>
          </cell>
          <cell r="D6">
            <v>41274</v>
          </cell>
          <cell r="E6" t="str">
            <v>note receivable</v>
          </cell>
          <cell r="F6" t="str">
            <v>Q3 option</v>
          </cell>
          <cell r="G6" t="str">
            <v>Q4 option</v>
          </cell>
          <cell r="H6" t="str">
            <v>Jet deposit</v>
          </cell>
          <cell r="I6" t="str">
            <v>C-1</v>
          </cell>
          <cell r="J6" t="str">
            <v>Remove inventory</v>
          </cell>
          <cell r="K6" t="str">
            <v>GMP inventory</v>
          </cell>
          <cell r="M6" t="str">
            <v>Total adj</v>
          </cell>
        </row>
        <row r="7">
          <cell r="A7" t="str">
            <v>---------------------</v>
          </cell>
          <cell r="B7" t="str">
            <v>-- ------------------------</v>
          </cell>
          <cell r="C7" t="str">
            <v>------</v>
          </cell>
          <cell r="D7" t="str">
            <v>$'000</v>
          </cell>
        </row>
        <row r="8">
          <cell r="A8">
            <v>1011</v>
          </cell>
          <cell r="B8" t="str">
            <v>SVB - Checking (Global)</v>
          </cell>
          <cell r="C8">
            <v>2076.11</v>
          </cell>
          <cell r="D8">
            <v>2</v>
          </cell>
          <cell r="M8">
            <v>0</v>
          </cell>
        </row>
        <row r="9">
          <cell r="A9">
            <v>1025</v>
          </cell>
          <cell r="B9" t="str">
            <v>Cash- CoAmerica Checking</v>
          </cell>
          <cell r="C9">
            <v>5420970.0700000003</v>
          </cell>
          <cell r="D9">
            <v>5421</v>
          </cell>
          <cell r="M9">
            <v>0</v>
          </cell>
        </row>
        <row r="10">
          <cell r="A10">
            <v>1040</v>
          </cell>
          <cell r="B10" t="str">
            <v>Cash - Morgan Stanley</v>
          </cell>
          <cell r="C10">
            <v>163849.98000000001</v>
          </cell>
          <cell r="D10">
            <v>164</v>
          </cell>
          <cell r="M10">
            <v>0</v>
          </cell>
        </row>
        <row r="11">
          <cell r="A11">
            <v>1045</v>
          </cell>
          <cell r="B11" t="str">
            <v>Cash - Fidelity</v>
          </cell>
          <cell r="C11">
            <v>10501989.960000001</v>
          </cell>
          <cell r="D11">
            <v>10502</v>
          </cell>
          <cell r="M11">
            <v>0</v>
          </cell>
        </row>
        <row r="12">
          <cell r="A12">
            <v>1050</v>
          </cell>
          <cell r="B12" t="str">
            <v>Petty cash</v>
          </cell>
          <cell r="C12">
            <v>2463.62</v>
          </cell>
          <cell r="D12">
            <v>2</v>
          </cell>
          <cell r="M12">
            <v>0</v>
          </cell>
        </row>
        <row r="13">
          <cell r="A13">
            <v>1070</v>
          </cell>
          <cell r="B13" t="str">
            <v>Short Term Inv - MS</v>
          </cell>
          <cell r="C13">
            <v>6460742.8399999999</v>
          </cell>
          <cell r="D13">
            <v>6461</v>
          </cell>
          <cell r="M13">
            <v>0</v>
          </cell>
        </row>
        <row r="14">
          <cell r="A14">
            <v>1071</v>
          </cell>
          <cell r="B14" t="str">
            <v>Short term Inv - Fidelit</v>
          </cell>
          <cell r="C14">
            <v>27977900</v>
          </cell>
          <cell r="D14">
            <v>27978</v>
          </cell>
          <cell r="M14">
            <v>0</v>
          </cell>
        </row>
        <row r="15">
          <cell r="A15">
            <v>1110</v>
          </cell>
          <cell r="B15" t="str">
            <v>A/R Trade</v>
          </cell>
          <cell r="C15">
            <v>25000000</v>
          </cell>
          <cell r="D15">
            <v>25000</v>
          </cell>
          <cell r="M15">
            <v>0</v>
          </cell>
        </row>
        <row r="16">
          <cell r="A16">
            <v>1170</v>
          </cell>
          <cell r="B16" t="str">
            <v>Intercompany receivable</v>
          </cell>
          <cell r="C16">
            <v>2181.71</v>
          </cell>
          <cell r="D16">
            <v>0</v>
          </cell>
          <cell r="M16">
            <v>0</v>
          </cell>
        </row>
        <row r="17">
          <cell r="A17">
            <v>1205</v>
          </cell>
          <cell r="B17" t="str">
            <v>GMP Inventory</v>
          </cell>
          <cell r="K17">
            <v>7546</v>
          </cell>
          <cell r="M17">
            <v>7546</v>
          </cell>
        </row>
        <row r="18">
          <cell r="A18">
            <v>1210</v>
          </cell>
          <cell r="B18" t="str">
            <v>RM - Chemicals</v>
          </cell>
          <cell r="C18">
            <v>-32708.6</v>
          </cell>
          <cell r="D18">
            <v>-33</v>
          </cell>
          <cell r="J18">
            <v>33</v>
          </cell>
          <cell r="M18">
            <v>33</v>
          </cell>
        </row>
        <row r="19">
          <cell r="A19">
            <v>1215</v>
          </cell>
          <cell r="B19" t="str">
            <v>RM - Cartridges</v>
          </cell>
          <cell r="C19">
            <v>105102.37</v>
          </cell>
          <cell r="D19">
            <v>105</v>
          </cell>
          <cell r="J19">
            <v>-105</v>
          </cell>
          <cell r="M19">
            <v>-105</v>
          </cell>
        </row>
        <row r="20">
          <cell r="A20">
            <v>1230</v>
          </cell>
          <cell r="B20" t="str">
            <v>WIP - Chemicals</v>
          </cell>
          <cell r="C20">
            <v>-10190.77</v>
          </cell>
          <cell r="D20">
            <v>-10</v>
          </cell>
          <cell r="J20">
            <v>10</v>
          </cell>
          <cell r="M20">
            <v>10</v>
          </cell>
        </row>
        <row r="21">
          <cell r="A21">
            <v>1240</v>
          </cell>
          <cell r="B21" t="str">
            <v>WIP - Cartridges</v>
          </cell>
          <cell r="C21">
            <v>32257.15</v>
          </cell>
          <cell r="D21">
            <v>32</v>
          </cell>
          <cell r="J21">
            <v>-32</v>
          </cell>
          <cell r="M21">
            <v>-32</v>
          </cell>
        </row>
        <row r="22">
          <cell r="A22">
            <v>1260</v>
          </cell>
          <cell r="B22" t="str">
            <v>FG - Theranos</v>
          </cell>
          <cell r="C22">
            <v>-186.68</v>
          </cell>
          <cell r="D22">
            <v>0</v>
          </cell>
          <cell r="J22">
            <v>0</v>
          </cell>
          <cell r="M22">
            <v>0</v>
          </cell>
        </row>
        <row r="23">
          <cell r="A23">
            <v>1310</v>
          </cell>
          <cell r="B23" t="str">
            <v>Prepaid General - ST</v>
          </cell>
          <cell r="C23">
            <v>671559.95</v>
          </cell>
          <cell r="D23">
            <v>667</v>
          </cell>
          <cell r="M23">
            <v>0</v>
          </cell>
        </row>
        <row r="24">
          <cell r="A24">
            <v>1311</v>
          </cell>
          <cell r="B24" t="str">
            <v>Prepaid Insurance - ST</v>
          </cell>
          <cell r="C24">
            <v>32079.65</v>
          </cell>
          <cell r="D24">
            <v>32</v>
          </cell>
          <cell r="M24">
            <v>0</v>
          </cell>
        </row>
        <row r="25">
          <cell r="A25">
            <v>1312</v>
          </cell>
          <cell r="B25" t="str">
            <v>Prepaid Rent - ST</v>
          </cell>
          <cell r="C25">
            <v>267574.45</v>
          </cell>
          <cell r="D25">
            <v>268</v>
          </cell>
          <cell r="M25">
            <v>0</v>
          </cell>
        </row>
        <row r="26">
          <cell r="A26">
            <v>1313</v>
          </cell>
          <cell r="B26" t="str">
            <v>Prepaid Property Taxes</v>
          </cell>
          <cell r="C26">
            <v>37481.040000000001</v>
          </cell>
          <cell r="D26">
            <v>37</v>
          </cell>
          <cell r="M26">
            <v>0</v>
          </cell>
        </row>
        <row r="27">
          <cell r="A27">
            <v>1314</v>
          </cell>
          <cell r="B27" t="str">
            <v>Prepaid For Amortization</v>
          </cell>
          <cell r="C27">
            <v>608994.28</v>
          </cell>
          <cell r="D27">
            <v>609</v>
          </cell>
          <cell r="M27">
            <v>0</v>
          </cell>
        </row>
        <row r="28">
          <cell r="A28">
            <v>1410</v>
          </cell>
          <cell r="B28" t="str">
            <v>Interest Receivable</v>
          </cell>
          <cell r="C28">
            <v>13402.3</v>
          </cell>
          <cell r="D28">
            <v>13</v>
          </cell>
          <cell r="M28">
            <v>0</v>
          </cell>
        </row>
        <row r="29">
          <cell r="A29">
            <v>1415</v>
          </cell>
          <cell r="B29" t="str">
            <v>Other Receivables</v>
          </cell>
          <cell r="C29">
            <v>38490.230000000003</v>
          </cell>
          <cell r="D29">
            <v>38</v>
          </cell>
          <cell r="M29">
            <v>0</v>
          </cell>
        </row>
        <row r="30">
          <cell r="A30">
            <v>1416</v>
          </cell>
          <cell r="B30" t="str">
            <v>Other receivable-clients</v>
          </cell>
          <cell r="C30">
            <v>1311.75</v>
          </cell>
          <cell r="D30">
            <v>1</v>
          </cell>
          <cell r="M30">
            <v>0</v>
          </cell>
        </row>
        <row r="31">
          <cell r="A31">
            <v>1422</v>
          </cell>
          <cell r="B31" t="str">
            <v>Manual Payroll Check</v>
          </cell>
          <cell r="C31">
            <v>9625.51</v>
          </cell>
          <cell r="D31">
            <v>10</v>
          </cell>
          <cell r="M31">
            <v>0</v>
          </cell>
        </row>
        <row r="32">
          <cell r="A32">
            <v>1520</v>
          </cell>
          <cell r="B32" t="str">
            <v>Deposits - ST</v>
          </cell>
          <cell r="C32">
            <v>58472.25</v>
          </cell>
          <cell r="D32">
            <v>58</v>
          </cell>
          <cell r="M32">
            <v>0</v>
          </cell>
        </row>
        <row r="33">
          <cell r="A33">
            <v>1526</v>
          </cell>
          <cell r="B33" t="str">
            <v>Deposit - Retainer (Pat)</v>
          </cell>
          <cell r="C33">
            <v>70989.69</v>
          </cell>
          <cell r="D33">
            <v>71</v>
          </cell>
          <cell r="M33">
            <v>0</v>
          </cell>
        </row>
        <row r="34">
          <cell r="A34">
            <v>1535</v>
          </cell>
          <cell r="B34" t="str">
            <v>Deposit - Jet</v>
          </cell>
          <cell r="C34">
            <v>48793.57</v>
          </cell>
          <cell r="D34">
            <v>49</v>
          </cell>
          <cell r="H34">
            <v>-44</v>
          </cell>
          <cell r="M34">
            <v>-44</v>
          </cell>
        </row>
        <row r="35">
          <cell r="A35">
            <v>1610</v>
          </cell>
          <cell r="B35" t="str">
            <v>FA-Machines &amp; Equipment</v>
          </cell>
          <cell r="C35">
            <v>5938206.5599999996</v>
          </cell>
          <cell r="D35">
            <v>5938</v>
          </cell>
          <cell r="M35">
            <v>0</v>
          </cell>
        </row>
        <row r="36">
          <cell r="A36">
            <v>1611</v>
          </cell>
          <cell r="B36" t="str">
            <v>FA-Manufacturing Machine</v>
          </cell>
          <cell r="C36">
            <v>9345395.5800000001</v>
          </cell>
          <cell r="D36">
            <v>9345</v>
          </cell>
          <cell r="M36">
            <v>0</v>
          </cell>
        </row>
        <row r="37">
          <cell r="A37">
            <v>1612</v>
          </cell>
          <cell r="B37" t="str">
            <v>FA-CLIA Machine</v>
          </cell>
          <cell r="C37">
            <v>903192.83</v>
          </cell>
          <cell r="D37">
            <v>903</v>
          </cell>
          <cell r="M37">
            <v>0</v>
          </cell>
        </row>
        <row r="38">
          <cell r="A38">
            <v>1615</v>
          </cell>
          <cell r="B38" t="str">
            <v>FA-Office Equipment</v>
          </cell>
          <cell r="C38">
            <v>141236.96</v>
          </cell>
          <cell r="D38">
            <v>141</v>
          </cell>
          <cell r="M38">
            <v>0</v>
          </cell>
        </row>
        <row r="39">
          <cell r="A39">
            <v>1620</v>
          </cell>
          <cell r="B39" t="str">
            <v>FA-furniture &amp; fixtures</v>
          </cell>
          <cell r="C39">
            <v>401920.99</v>
          </cell>
          <cell r="D39">
            <v>402</v>
          </cell>
          <cell r="M39">
            <v>0</v>
          </cell>
        </row>
        <row r="40">
          <cell r="A40">
            <v>1625</v>
          </cell>
          <cell r="B40" t="str">
            <v>FA-Computer Hardware</v>
          </cell>
          <cell r="C40">
            <v>1285910.25</v>
          </cell>
          <cell r="D40">
            <v>1286</v>
          </cell>
          <cell r="M40">
            <v>0</v>
          </cell>
        </row>
        <row r="41">
          <cell r="A41">
            <v>1630</v>
          </cell>
          <cell r="B41" t="str">
            <v>FA-Computer software</v>
          </cell>
          <cell r="C41">
            <v>474772.97</v>
          </cell>
          <cell r="D41">
            <v>475</v>
          </cell>
          <cell r="M41">
            <v>0</v>
          </cell>
        </row>
        <row r="42">
          <cell r="A42">
            <v>1635</v>
          </cell>
          <cell r="B42" t="str">
            <v>FA-Leasehold Improvement</v>
          </cell>
          <cell r="C42">
            <v>2233584.9</v>
          </cell>
          <cell r="D42">
            <v>2234</v>
          </cell>
          <cell r="M42">
            <v>0</v>
          </cell>
        </row>
        <row r="43">
          <cell r="A43">
            <v>1640</v>
          </cell>
          <cell r="B43" t="str">
            <v>FA - Vehicle</v>
          </cell>
          <cell r="C43">
            <v>22000</v>
          </cell>
          <cell r="D43">
            <v>22</v>
          </cell>
          <cell r="M43">
            <v>0</v>
          </cell>
        </row>
        <row r="44">
          <cell r="A44">
            <v>1680</v>
          </cell>
          <cell r="B44" t="str">
            <v>FA - Manufactured Device</v>
          </cell>
          <cell r="C44">
            <v>650165.16</v>
          </cell>
          <cell r="D44">
            <v>650</v>
          </cell>
          <cell r="M44">
            <v>0</v>
          </cell>
        </row>
        <row r="45">
          <cell r="A45">
            <v>1690</v>
          </cell>
          <cell r="B45" t="str">
            <v>FA - M&amp;E WIP</v>
          </cell>
          <cell r="C45">
            <v>48879.64</v>
          </cell>
          <cell r="D45">
            <v>49</v>
          </cell>
          <cell r="M45">
            <v>0</v>
          </cell>
        </row>
        <row r="46">
          <cell r="A46">
            <v>1691</v>
          </cell>
          <cell r="B46" t="str">
            <v>FA - Office Eqt WIP</v>
          </cell>
          <cell r="C46">
            <v>16330.64</v>
          </cell>
          <cell r="D46">
            <v>16</v>
          </cell>
          <cell r="M46">
            <v>0</v>
          </cell>
        </row>
        <row r="47">
          <cell r="A47">
            <v>1694</v>
          </cell>
          <cell r="B47" t="str">
            <v>FA - Computer S/W WIP</v>
          </cell>
          <cell r="C47">
            <v>111444.5</v>
          </cell>
          <cell r="D47">
            <v>111</v>
          </cell>
          <cell r="M47">
            <v>0</v>
          </cell>
        </row>
        <row r="48">
          <cell r="A48">
            <v>1695</v>
          </cell>
          <cell r="B48" t="str">
            <v>FA - Leasehold Imp WIP</v>
          </cell>
          <cell r="C48">
            <v>3709740.95</v>
          </cell>
          <cell r="D48">
            <v>3710</v>
          </cell>
          <cell r="M48">
            <v>0</v>
          </cell>
        </row>
        <row r="49">
          <cell r="A49">
            <v>1696</v>
          </cell>
          <cell r="B49" t="str">
            <v>FA-CLIA Machine WIP</v>
          </cell>
          <cell r="C49">
            <v>14641.47</v>
          </cell>
          <cell r="D49">
            <v>15</v>
          </cell>
          <cell r="M49">
            <v>0</v>
          </cell>
        </row>
        <row r="50">
          <cell r="A50">
            <v>1710</v>
          </cell>
          <cell r="B50" t="str">
            <v>A/D Machines &amp; Equipment</v>
          </cell>
          <cell r="C50">
            <v>-2472808.2000000002</v>
          </cell>
          <cell r="D50">
            <v>-2473</v>
          </cell>
          <cell r="M50">
            <v>0</v>
          </cell>
        </row>
        <row r="51">
          <cell r="A51">
            <v>1711</v>
          </cell>
          <cell r="B51" t="str">
            <v>A/D - Manuf Machinery</v>
          </cell>
          <cell r="C51">
            <v>-455893.92</v>
          </cell>
          <cell r="D51">
            <v>-456</v>
          </cell>
          <cell r="M51">
            <v>0</v>
          </cell>
        </row>
        <row r="52">
          <cell r="A52">
            <v>1712</v>
          </cell>
          <cell r="B52" t="str">
            <v>A/D CLIA Machine</v>
          </cell>
          <cell r="C52">
            <v>-112616.49</v>
          </cell>
          <cell r="D52">
            <v>-113</v>
          </cell>
          <cell r="M52">
            <v>0</v>
          </cell>
        </row>
        <row r="53">
          <cell r="A53">
            <v>1715</v>
          </cell>
          <cell r="B53" t="str">
            <v>A/D Office Equipment</v>
          </cell>
          <cell r="C53">
            <v>-75147.570000000007</v>
          </cell>
          <cell r="D53">
            <v>-75</v>
          </cell>
          <cell r="M53">
            <v>0</v>
          </cell>
        </row>
        <row r="54">
          <cell r="A54">
            <v>1720</v>
          </cell>
          <cell r="B54" t="str">
            <v>A/D Furniture &amp; Fixtures</v>
          </cell>
          <cell r="C54">
            <v>-156289.43</v>
          </cell>
          <cell r="D54">
            <v>-156</v>
          </cell>
          <cell r="M54">
            <v>0</v>
          </cell>
        </row>
        <row r="55">
          <cell r="A55">
            <v>1725</v>
          </cell>
          <cell r="B55" t="str">
            <v>A/D Computer Hardware</v>
          </cell>
          <cell r="C55">
            <v>-748884.03</v>
          </cell>
          <cell r="D55">
            <v>-749</v>
          </cell>
          <cell r="M55">
            <v>0</v>
          </cell>
        </row>
        <row r="56">
          <cell r="A56">
            <v>1730</v>
          </cell>
          <cell r="B56" t="str">
            <v>A/D Computer Software</v>
          </cell>
          <cell r="C56">
            <v>-261603.94</v>
          </cell>
          <cell r="D56">
            <v>-262</v>
          </cell>
          <cell r="M56">
            <v>0</v>
          </cell>
        </row>
        <row r="57">
          <cell r="A57">
            <v>1735</v>
          </cell>
          <cell r="B57" t="str">
            <v>A/DLeasehold improvement</v>
          </cell>
          <cell r="C57">
            <v>-882924.2</v>
          </cell>
          <cell r="D57">
            <v>-883</v>
          </cell>
          <cell r="M57">
            <v>0</v>
          </cell>
        </row>
        <row r="58">
          <cell r="A58">
            <v>1780</v>
          </cell>
          <cell r="B58" t="str">
            <v>A/D Manufactured Device</v>
          </cell>
          <cell r="C58">
            <v>-577081.15</v>
          </cell>
          <cell r="D58">
            <v>-577</v>
          </cell>
          <cell r="M58">
            <v>0</v>
          </cell>
        </row>
        <row r="59">
          <cell r="A59">
            <v>1806</v>
          </cell>
          <cell r="B59" t="str">
            <v>Restricted LT investment</v>
          </cell>
          <cell r="C59">
            <v>1214939.8</v>
          </cell>
          <cell r="D59">
            <v>1215</v>
          </cell>
          <cell r="M59">
            <v>0</v>
          </cell>
        </row>
        <row r="60">
          <cell r="A60">
            <v>1815</v>
          </cell>
          <cell r="B60" t="str">
            <v>Note Receivable - LT</v>
          </cell>
          <cell r="C60">
            <v>16737909.17</v>
          </cell>
          <cell r="D60">
            <v>16738</v>
          </cell>
          <cell r="E60">
            <v>-16738</v>
          </cell>
          <cell r="M60">
            <v>-16738</v>
          </cell>
        </row>
        <row r="61">
          <cell r="A61">
            <v>1820</v>
          </cell>
          <cell r="B61" t="str">
            <v>Interest receivable - LT</v>
          </cell>
          <cell r="C61">
            <v>66946.28</v>
          </cell>
          <cell r="D61">
            <v>67</v>
          </cell>
          <cell r="E61">
            <v>-67</v>
          </cell>
          <cell r="M61">
            <v>-67</v>
          </cell>
        </row>
        <row r="62">
          <cell r="A62">
            <v>1825</v>
          </cell>
          <cell r="B62" t="str">
            <v>Deposits - LT</v>
          </cell>
          <cell r="C62">
            <v>3000</v>
          </cell>
          <cell r="D62">
            <v>3</v>
          </cell>
          <cell r="M62">
            <v>0</v>
          </cell>
        </row>
        <row r="63">
          <cell r="A63">
            <v>2010</v>
          </cell>
          <cell r="B63" t="str">
            <v>Accounts Payable Trade</v>
          </cell>
          <cell r="C63">
            <v>-4454198.1900000004</v>
          </cell>
          <cell r="D63">
            <v>-4454</v>
          </cell>
          <cell r="M63">
            <v>0</v>
          </cell>
        </row>
        <row r="64">
          <cell r="A64">
            <v>2015</v>
          </cell>
          <cell r="B64" t="str">
            <v>Intercompany Payable</v>
          </cell>
          <cell r="C64">
            <v>-2181.71</v>
          </cell>
          <cell r="D64">
            <v>0</v>
          </cell>
          <cell r="M64">
            <v>0</v>
          </cell>
        </row>
        <row r="65">
          <cell r="A65">
            <v>2020</v>
          </cell>
          <cell r="B65" t="str">
            <v>PO Receipts - Inventory</v>
          </cell>
          <cell r="C65">
            <v>3964.99</v>
          </cell>
          <cell r="D65">
            <v>4</v>
          </cell>
          <cell r="M65">
            <v>0</v>
          </cell>
        </row>
        <row r="66">
          <cell r="A66">
            <v>2030</v>
          </cell>
          <cell r="B66" t="str">
            <v>PO Receipts - Expenses</v>
          </cell>
          <cell r="C66">
            <v>-607595.9</v>
          </cell>
          <cell r="D66">
            <v>-608</v>
          </cell>
          <cell r="M66">
            <v>0</v>
          </cell>
        </row>
        <row r="67">
          <cell r="A67">
            <v>2035</v>
          </cell>
          <cell r="B67" t="str">
            <v>AP Accrual</v>
          </cell>
          <cell r="C67">
            <v>-826691.33</v>
          </cell>
          <cell r="D67">
            <v>-827</v>
          </cell>
          <cell r="M67">
            <v>0</v>
          </cell>
        </row>
        <row r="68">
          <cell r="A68">
            <v>2045</v>
          </cell>
          <cell r="B68" t="str">
            <v>Accrued Payroll</v>
          </cell>
          <cell r="C68">
            <v>-624645.31000000006</v>
          </cell>
          <cell r="D68">
            <v>-625</v>
          </cell>
          <cell r="M68">
            <v>0</v>
          </cell>
        </row>
        <row r="69">
          <cell r="A69">
            <v>2055</v>
          </cell>
          <cell r="B69" t="str">
            <v>Accrued Vacation</v>
          </cell>
          <cell r="C69">
            <v>-909271.93</v>
          </cell>
          <cell r="D69">
            <v>-909</v>
          </cell>
          <cell r="M69">
            <v>0</v>
          </cell>
        </row>
        <row r="70">
          <cell r="A70">
            <v>2065</v>
          </cell>
          <cell r="B70" t="str">
            <v>Accrued P/R Taxes</v>
          </cell>
          <cell r="C70">
            <v>-417536.08</v>
          </cell>
          <cell r="D70">
            <v>-418</v>
          </cell>
          <cell r="M70">
            <v>0</v>
          </cell>
        </row>
        <row r="71">
          <cell r="A71">
            <v>2075</v>
          </cell>
          <cell r="B71" t="str">
            <v>Accrued 401(K)</v>
          </cell>
          <cell r="C71">
            <v>-72661.3</v>
          </cell>
          <cell r="D71">
            <v>-73</v>
          </cell>
          <cell r="M71">
            <v>0</v>
          </cell>
        </row>
        <row r="72">
          <cell r="A72">
            <v>2085</v>
          </cell>
          <cell r="B72" t="str">
            <v>Accrued Flex Spending</v>
          </cell>
          <cell r="C72">
            <v>-40770.92</v>
          </cell>
          <cell r="D72">
            <v>-41</v>
          </cell>
          <cell r="M72">
            <v>0</v>
          </cell>
        </row>
        <row r="73">
          <cell r="A73">
            <v>2120</v>
          </cell>
          <cell r="B73" t="str">
            <v>Accrued Sales &amp; Used Tax</v>
          </cell>
          <cell r="C73">
            <v>-48427.519999999997</v>
          </cell>
          <cell r="D73">
            <v>-48</v>
          </cell>
          <cell r="M73">
            <v>0</v>
          </cell>
        </row>
        <row r="74">
          <cell r="A74">
            <v>2121</v>
          </cell>
          <cell r="B74" t="str">
            <v>Accrued use tax - Vendor</v>
          </cell>
          <cell r="C74">
            <v>-12534.95</v>
          </cell>
          <cell r="D74">
            <v>-13</v>
          </cell>
          <cell r="M74">
            <v>0</v>
          </cell>
        </row>
        <row r="75">
          <cell r="A75">
            <v>2140</v>
          </cell>
          <cell r="B75" t="str">
            <v>Deferred Rents - ST</v>
          </cell>
          <cell r="C75">
            <v>3580.3</v>
          </cell>
          <cell r="D75">
            <v>4</v>
          </cell>
          <cell r="M75">
            <v>0</v>
          </cell>
        </row>
        <row r="76">
          <cell r="A76">
            <v>2145</v>
          </cell>
          <cell r="B76" t="str">
            <v>Refundable Options</v>
          </cell>
          <cell r="C76">
            <v>-16851164.109999999</v>
          </cell>
          <cell r="D76">
            <v>-16851</v>
          </cell>
          <cell r="E76">
            <v>10214</v>
          </cell>
          <cell r="F76">
            <v>1486</v>
          </cell>
          <cell r="G76">
            <v>1794</v>
          </cell>
          <cell r="M76">
            <v>13494</v>
          </cell>
        </row>
        <row r="77">
          <cell r="A77">
            <v>2147</v>
          </cell>
          <cell r="B77" t="str">
            <v>Pref Stock Warrant Liab</v>
          </cell>
          <cell r="C77">
            <v>-22941.06</v>
          </cell>
          <cell r="D77">
            <v>-23</v>
          </cell>
          <cell r="M77">
            <v>0</v>
          </cell>
        </row>
        <row r="78">
          <cell r="A78">
            <v>2150</v>
          </cell>
          <cell r="B78" t="str">
            <v>Deferred Revenues</v>
          </cell>
          <cell r="C78">
            <v>-138308016.88999999</v>
          </cell>
          <cell r="D78">
            <v>-138308</v>
          </cell>
          <cell r="M78">
            <v>0</v>
          </cell>
        </row>
        <row r="79">
          <cell r="A79">
            <v>2210</v>
          </cell>
          <cell r="B79" t="str">
            <v>Short-Term Debt</v>
          </cell>
          <cell r="C79">
            <v>-0.01</v>
          </cell>
          <cell r="D79">
            <v>0</v>
          </cell>
          <cell r="M79">
            <v>0</v>
          </cell>
        </row>
        <row r="80">
          <cell r="A80">
            <v>2211</v>
          </cell>
          <cell r="B80" t="str">
            <v>Miscellaneous receipts</v>
          </cell>
          <cell r="C80">
            <v>-3000000</v>
          </cell>
          <cell r="D80">
            <v>-3000</v>
          </cell>
          <cell r="I80">
            <v>3000</v>
          </cell>
          <cell r="M80">
            <v>3000</v>
          </cell>
        </row>
        <row r="81">
          <cell r="A81">
            <v>2310</v>
          </cell>
          <cell r="B81" t="str">
            <v>Current Capital Leases</v>
          </cell>
          <cell r="C81">
            <v>-109465.06</v>
          </cell>
          <cell r="D81">
            <v>-109</v>
          </cell>
          <cell r="M81">
            <v>0</v>
          </cell>
        </row>
        <row r="82">
          <cell r="A82">
            <v>2410</v>
          </cell>
          <cell r="B82" t="str">
            <v>Deferred Rent - LT</v>
          </cell>
          <cell r="C82">
            <v>-2044513.42</v>
          </cell>
          <cell r="D82">
            <v>-2045</v>
          </cell>
          <cell r="M82">
            <v>0</v>
          </cell>
        </row>
        <row r="83">
          <cell r="A83">
            <v>2510</v>
          </cell>
          <cell r="B83" t="str">
            <v>Capital Lease Obligation</v>
          </cell>
          <cell r="C83">
            <v>-146707.19</v>
          </cell>
          <cell r="D83">
            <v>-147</v>
          </cell>
          <cell r="M83">
            <v>0</v>
          </cell>
        </row>
        <row r="84">
          <cell r="A84">
            <v>3010</v>
          </cell>
          <cell r="B84" t="str">
            <v>Common stock</v>
          </cell>
          <cell r="C84">
            <v>-3202.65</v>
          </cell>
          <cell r="D84">
            <v>-3</v>
          </cell>
          <cell r="M84">
            <v>0</v>
          </cell>
        </row>
        <row r="85">
          <cell r="A85">
            <v>3015</v>
          </cell>
          <cell r="B85" t="str">
            <v>Add'l PIC - C/S</v>
          </cell>
          <cell r="C85">
            <v>-10532058.9</v>
          </cell>
          <cell r="D85">
            <v>-10532</v>
          </cell>
          <cell r="E85">
            <v>6524</v>
          </cell>
          <cell r="F85">
            <v>-1486</v>
          </cell>
          <cell r="G85">
            <v>-1794</v>
          </cell>
          <cell r="M85">
            <v>3244</v>
          </cell>
        </row>
        <row r="86">
          <cell r="A86">
            <v>3020</v>
          </cell>
          <cell r="B86" t="str">
            <v>Series A Preferred stock</v>
          </cell>
          <cell r="C86">
            <v>-926.4</v>
          </cell>
          <cell r="D86">
            <v>-1</v>
          </cell>
          <cell r="M86">
            <v>0</v>
          </cell>
        </row>
        <row r="87">
          <cell r="A87">
            <v>3025</v>
          </cell>
          <cell r="B87" t="str">
            <v>Add'l PIC - Series A</v>
          </cell>
          <cell r="C87">
            <v>-6391349.5300000003</v>
          </cell>
          <cell r="D87">
            <v>-6391</v>
          </cell>
          <cell r="M87">
            <v>0</v>
          </cell>
        </row>
        <row r="88">
          <cell r="A88">
            <v>3030</v>
          </cell>
          <cell r="B88" t="str">
            <v>Series B - Pref stock</v>
          </cell>
          <cell r="C88">
            <v>-1083.26</v>
          </cell>
          <cell r="D88">
            <v>-1</v>
          </cell>
          <cell r="M88">
            <v>0</v>
          </cell>
        </row>
        <row r="89">
          <cell r="A89">
            <v>3032</v>
          </cell>
          <cell r="B89" t="str">
            <v>Series B Issuance costs</v>
          </cell>
          <cell r="C89">
            <v>153728.4</v>
          </cell>
          <cell r="D89">
            <v>154</v>
          </cell>
          <cell r="M89">
            <v>0</v>
          </cell>
        </row>
        <row r="90">
          <cell r="A90">
            <v>3035</v>
          </cell>
          <cell r="B90" t="str">
            <v>Add'l PIC - Series B</v>
          </cell>
          <cell r="C90">
            <v>-9998916.6899999995</v>
          </cell>
          <cell r="D90">
            <v>-9999</v>
          </cell>
          <cell r="M90">
            <v>0</v>
          </cell>
        </row>
        <row r="91">
          <cell r="A91">
            <v>3040</v>
          </cell>
          <cell r="B91" t="str">
            <v>Series C - Pref Stocks</v>
          </cell>
          <cell r="C91">
            <v>-1176.3399999999999</v>
          </cell>
          <cell r="D91">
            <v>-1</v>
          </cell>
          <cell r="M91">
            <v>0</v>
          </cell>
        </row>
        <row r="92">
          <cell r="A92">
            <v>3042</v>
          </cell>
          <cell r="B92" t="str">
            <v>Series C - Issuance cost</v>
          </cell>
          <cell r="C92">
            <v>152658.68</v>
          </cell>
          <cell r="D92">
            <v>153</v>
          </cell>
          <cell r="M92">
            <v>0</v>
          </cell>
        </row>
        <row r="93">
          <cell r="A93">
            <v>3045</v>
          </cell>
          <cell r="B93" t="str">
            <v>Add'l PIC - Series C</v>
          </cell>
          <cell r="C93">
            <v>-33159827.300000001</v>
          </cell>
          <cell r="D93">
            <v>-33160</v>
          </cell>
          <cell r="M93">
            <v>0</v>
          </cell>
        </row>
        <row r="94">
          <cell r="A94">
            <v>3046</v>
          </cell>
          <cell r="B94" t="str">
            <v>Series C-1 Pref stocks</v>
          </cell>
          <cell r="C94">
            <v>-370.17</v>
          </cell>
          <cell r="D94">
            <v>0</v>
          </cell>
          <cell r="M94">
            <v>0</v>
          </cell>
        </row>
        <row r="95">
          <cell r="A95">
            <v>3048</v>
          </cell>
          <cell r="B95" t="str">
            <v>Series C-1 Issuance cost</v>
          </cell>
          <cell r="C95">
            <v>83723</v>
          </cell>
          <cell r="D95">
            <v>84</v>
          </cell>
          <cell r="M95">
            <v>0</v>
          </cell>
        </row>
        <row r="96">
          <cell r="A96">
            <v>3049</v>
          </cell>
          <cell r="B96" t="str">
            <v>Add'l PIC - Series C-1</v>
          </cell>
          <cell r="C96">
            <v>-55524634.829999998</v>
          </cell>
          <cell r="D96">
            <v>-55525</v>
          </cell>
          <cell r="I96">
            <v>-3000</v>
          </cell>
          <cell r="M96">
            <v>-3000</v>
          </cell>
        </row>
        <row r="97">
          <cell r="A97">
            <v>3060</v>
          </cell>
          <cell r="B97" t="str">
            <v>Unrealized gain/loss Inv</v>
          </cell>
          <cell r="C97">
            <v>-6409.6</v>
          </cell>
          <cell r="D97">
            <v>-6</v>
          </cell>
          <cell r="M97">
            <v>0</v>
          </cell>
        </row>
        <row r="98">
          <cell r="A98">
            <v>3090</v>
          </cell>
          <cell r="B98" t="str">
            <v>Accum. Retained Earning</v>
          </cell>
          <cell r="C98">
            <v>48867422.18</v>
          </cell>
          <cell r="D98">
            <v>104145</v>
          </cell>
          <cell r="E98">
            <v>67</v>
          </cell>
          <cell r="M98">
            <v>67</v>
          </cell>
        </row>
        <row r="99">
          <cell r="A99">
            <v>5400</v>
          </cell>
          <cell r="B99" t="str">
            <v>Freight charges</v>
          </cell>
          <cell r="C99">
            <v>5898.56</v>
          </cell>
          <cell r="D99">
            <v>6</v>
          </cell>
          <cell r="M99">
            <v>0</v>
          </cell>
        </row>
        <row r="100">
          <cell r="A100">
            <v>5850</v>
          </cell>
          <cell r="B100" t="str">
            <v>PO Price Variance</v>
          </cell>
          <cell r="C100">
            <v>55379.1</v>
          </cell>
          <cell r="D100">
            <v>55</v>
          </cell>
          <cell r="M100">
            <v>0</v>
          </cell>
        </row>
        <row r="101">
          <cell r="A101">
            <v>6000</v>
          </cell>
          <cell r="B101" t="str">
            <v>Salaries &amp; Wages</v>
          </cell>
          <cell r="C101">
            <v>19951518.420000002</v>
          </cell>
          <cell r="D101">
            <v>19952</v>
          </cell>
          <cell r="M101">
            <v>0</v>
          </cell>
        </row>
        <row r="102">
          <cell r="A102">
            <v>6040</v>
          </cell>
          <cell r="B102" t="str">
            <v>Accrued vacation PTO</v>
          </cell>
          <cell r="C102">
            <v>433662.84</v>
          </cell>
          <cell r="D102">
            <v>434</v>
          </cell>
          <cell r="M102">
            <v>0</v>
          </cell>
        </row>
        <row r="103">
          <cell r="A103">
            <v>6045</v>
          </cell>
          <cell r="B103" t="str">
            <v>Payroll Taxes</v>
          </cell>
          <cell r="C103">
            <v>1511257.28</v>
          </cell>
          <cell r="D103">
            <v>1511</v>
          </cell>
          <cell r="M103">
            <v>0</v>
          </cell>
        </row>
        <row r="104">
          <cell r="A104">
            <v>6065</v>
          </cell>
          <cell r="B104" t="str">
            <v>Health Insurance</v>
          </cell>
          <cell r="C104">
            <v>1531683.4</v>
          </cell>
          <cell r="D104">
            <v>1532</v>
          </cell>
          <cell r="M104">
            <v>0</v>
          </cell>
        </row>
        <row r="105">
          <cell r="A105">
            <v>6070</v>
          </cell>
          <cell r="B105" t="str">
            <v>Staff Welfare</v>
          </cell>
          <cell r="C105">
            <v>1840867</v>
          </cell>
          <cell r="D105">
            <v>1841</v>
          </cell>
          <cell r="M105">
            <v>0</v>
          </cell>
        </row>
        <row r="106">
          <cell r="A106">
            <v>6200</v>
          </cell>
          <cell r="B106" t="str">
            <v>Consulting Services</v>
          </cell>
          <cell r="C106">
            <v>2881361.52</v>
          </cell>
          <cell r="D106">
            <v>2881</v>
          </cell>
          <cell r="M106">
            <v>0</v>
          </cell>
        </row>
        <row r="107">
          <cell r="A107">
            <v>6300</v>
          </cell>
          <cell r="B107" t="str">
            <v>Contractor/Temp InDirect</v>
          </cell>
          <cell r="C107">
            <v>210221.56</v>
          </cell>
          <cell r="D107">
            <v>210</v>
          </cell>
          <cell r="M107">
            <v>0</v>
          </cell>
        </row>
        <row r="108">
          <cell r="A108">
            <v>6305</v>
          </cell>
          <cell r="B108" t="str">
            <v>Contractors/Temp Direct</v>
          </cell>
          <cell r="C108">
            <v>1767.13</v>
          </cell>
          <cell r="D108">
            <v>2</v>
          </cell>
          <cell r="M108">
            <v>0</v>
          </cell>
        </row>
        <row r="109">
          <cell r="A109">
            <v>7500</v>
          </cell>
          <cell r="B109" t="str">
            <v>Telephone / Fax</v>
          </cell>
          <cell r="C109">
            <v>198080.6</v>
          </cell>
          <cell r="D109">
            <v>198</v>
          </cell>
          <cell r="M109">
            <v>0</v>
          </cell>
        </row>
        <row r="110">
          <cell r="A110">
            <v>7505</v>
          </cell>
          <cell r="B110" t="str">
            <v>Facility Rental</v>
          </cell>
          <cell r="C110">
            <v>4498706.42</v>
          </cell>
          <cell r="D110">
            <v>4499</v>
          </cell>
          <cell r="M110">
            <v>0</v>
          </cell>
        </row>
        <row r="111">
          <cell r="A111">
            <v>7515</v>
          </cell>
          <cell r="B111" t="str">
            <v>Facility Utilities</v>
          </cell>
          <cell r="C111">
            <v>519112.56</v>
          </cell>
          <cell r="D111">
            <v>519</v>
          </cell>
          <cell r="M111">
            <v>0</v>
          </cell>
        </row>
        <row r="112">
          <cell r="A112">
            <v>7525</v>
          </cell>
          <cell r="B112" t="str">
            <v>Facility Security</v>
          </cell>
          <cell r="C112">
            <v>20687.53</v>
          </cell>
          <cell r="D112">
            <v>21</v>
          </cell>
          <cell r="M112">
            <v>0</v>
          </cell>
        </row>
        <row r="113">
          <cell r="A113">
            <v>7530</v>
          </cell>
          <cell r="B113" t="str">
            <v>Facility Repair/Maint</v>
          </cell>
          <cell r="C113">
            <v>2086173.82</v>
          </cell>
          <cell r="D113">
            <v>2086</v>
          </cell>
          <cell r="M113">
            <v>0</v>
          </cell>
        </row>
        <row r="114">
          <cell r="A114">
            <v>7540</v>
          </cell>
          <cell r="B114" t="str">
            <v>Facility Network Comm</v>
          </cell>
          <cell r="C114">
            <v>90547.199999999997</v>
          </cell>
          <cell r="D114">
            <v>91</v>
          </cell>
          <cell r="M114">
            <v>0</v>
          </cell>
        </row>
        <row r="115">
          <cell r="A115">
            <v>7550</v>
          </cell>
          <cell r="B115" t="str">
            <v>Facility Property Tax</v>
          </cell>
          <cell r="C115">
            <v>45859.85</v>
          </cell>
          <cell r="D115">
            <v>46</v>
          </cell>
          <cell r="M115">
            <v>0</v>
          </cell>
        </row>
        <row r="116">
          <cell r="A116">
            <v>7555</v>
          </cell>
          <cell r="B116" t="str">
            <v>Other Facility Costs</v>
          </cell>
          <cell r="C116">
            <v>10991.66</v>
          </cell>
          <cell r="D116">
            <v>11</v>
          </cell>
          <cell r="M116">
            <v>0</v>
          </cell>
        </row>
        <row r="117">
          <cell r="A117">
            <v>7800</v>
          </cell>
          <cell r="B117" t="str">
            <v>R&amp;D Materials</v>
          </cell>
          <cell r="C117">
            <v>5992621.9199999999</v>
          </cell>
          <cell r="D117">
            <v>5993</v>
          </cell>
          <cell r="J117">
            <v>94</v>
          </cell>
          <cell r="K117">
            <v>-60</v>
          </cell>
          <cell r="M117">
            <v>34</v>
          </cell>
        </row>
        <row r="118">
          <cell r="A118">
            <v>7825</v>
          </cell>
          <cell r="B118" t="str">
            <v>Purchased Parts</v>
          </cell>
          <cell r="C118">
            <v>2582947.15</v>
          </cell>
          <cell r="D118">
            <v>2583</v>
          </cell>
          <cell r="K118">
            <v>-498</v>
          </cell>
          <cell r="M118">
            <v>-498</v>
          </cell>
        </row>
        <row r="119">
          <cell r="A119">
            <v>7830</v>
          </cell>
          <cell r="B119" t="str">
            <v>Fabricated Parts</v>
          </cell>
          <cell r="C119">
            <v>318217.82</v>
          </cell>
          <cell r="D119">
            <v>318</v>
          </cell>
          <cell r="K119">
            <v>-37</v>
          </cell>
          <cell r="M119">
            <v>-37</v>
          </cell>
        </row>
        <row r="120">
          <cell r="A120">
            <v>7835</v>
          </cell>
          <cell r="B120" t="str">
            <v>Catridge Supplies</v>
          </cell>
          <cell r="C120">
            <v>32439.279999999999</v>
          </cell>
          <cell r="D120">
            <v>32</v>
          </cell>
          <cell r="M120">
            <v>0</v>
          </cell>
        </row>
        <row r="121">
          <cell r="A121">
            <v>7840</v>
          </cell>
          <cell r="B121" t="str">
            <v>Reagents</v>
          </cell>
          <cell r="C121">
            <v>1166671.6299999999</v>
          </cell>
          <cell r="D121">
            <v>1167</v>
          </cell>
          <cell r="M121">
            <v>0</v>
          </cell>
        </row>
        <row r="122">
          <cell r="A122">
            <v>7845</v>
          </cell>
          <cell r="B122" t="str">
            <v>Antibodies</v>
          </cell>
          <cell r="C122">
            <v>530003.4</v>
          </cell>
          <cell r="D122">
            <v>530</v>
          </cell>
          <cell r="M122">
            <v>0</v>
          </cell>
        </row>
        <row r="123">
          <cell r="A123">
            <v>7846</v>
          </cell>
          <cell r="B123" t="str">
            <v>Human Blood products</v>
          </cell>
          <cell r="C123">
            <v>25575.22</v>
          </cell>
          <cell r="D123">
            <v>26</v>
          </cell>
          <cell r="M123">
            <v>0</v>
          </cell>
        </row>
        <row r="124">
          <cell r="A124">
            <v>7847</v>
          </cell>
          <cell r="B124" t="str">
            <v>Human body parts</v>
          </cell>
          <cell r="C124">
            <v>8933.74</v>
          </cell>
          <cell r="D124">
            <v>9</v>
          </cell>
          <cell r="M124">
            <v>0</v>
          </cell>
        </row>
        <row r="125">
          <cell r="A125">
            <v>7851</v>
          </cell>
          <cell r="B125" t="str">
            <v>Regulated Chemicals</v>
          </cell>
          <cell r="C125">
            <v>3640.35</v>
          </cell>
          <cell r="D125">
            <v>4</v>
          </cell>
          <cell r="M125">
            <v>0</v>
          </cell>
        </row>
        <row r="126">
          <cell r="A126">
            <v>7870</v>
          </cell>
          <cell r="B126" t="str">
            <v>Freight in - R&amp;D</v>
          </cell>
          <cell r="C126">
            <v>455287.62</v>
          </cell>
          <cell r="D126">
            <v>455</v>
          </cell>
          <cell r="K126">
            <v>-24</v>
          </cell>
          <cell r="M126">
            <v>-24</v>
          </cell>
        </row>
        <row r="127">
          <cell r="A127">
            <v>7875</v>
          </cell>
          <cell r="B127" t="str">
            <v>Shipping and Handling</v>
          </cell>
          <cell r="C127">
            <v>21112.79</v>
          </cell>
          <cell r="D127">
            <v>21</v>
          </cell>
          <cell r="K127">
            <v>0</v>
          </cell>
          <cell r="M127">
            <v>0</v>
          </cell>
        </row>
        <row r="128">
          <cell r="A128">
            <v>8015</v>
          </cell>
          <cell r="B128" t="str">
            <v>Advertising</v>
          </cell>
          <cell r="C128">
            <v>1190392.1299999999</v>
          </cell>
          <cell r="D128">
            <v>1190</v>
          </cell>
          <cell r="K128">
            <v>-8</v>
          </cell>
          <cell r="M128">
            <v>-8</v>
          </cell>
        </row>
        <row r="129">
          <cell r="A129">
            <v>8100</v>
          </cell>
          <cell r="B129" t="str">
            <v>Account Services</v>
          </cell>
          <cell r="C129">
            <v>7181.71</v>
          </cell>
          <cell r="D129">
            <v>7</v>
          </cell>
          <cell r="M129">
            <v>0</v>
          </cell>
        </row>
        <row r="130">
          <cell r="A130">
            <v>8115</v>
          </cell>
          <cell r="B130" t="str">
            <v>Legal - General</v>
          </cell>
          <cell r="C130">
            <v>165237.79999999999</v>
          </cell>
          <cell r="D130">
            <v>165</v>
          </cell>
          <cell r="M130">
            <v>0</v>
          </cell>
        </row>
        <row r="131">
          <cell r="A131">
            <v>8125</v>
          </cell>
          <cell r="B131" t="str">
            <v>Legal - Patents</v>
          </cell>
          <cell r="C131">
            <v>1400403.89</v>
          </cell>
          <cell r="D131">
            <v>1400</v>
          </cell>
          <cell r="M131">
            <v>0</v>
          </cell>
        </row>
        <row r="132">
          <cell r="A132">
            <v>8200</v>
          </cell>
          <cell r="B132" t="str">
            <v>Insurance - General</v>
          </cell>
          <cell r="C132">
            <v>160454.1</v>
          </cell>
          <cell r="D132">
            <v>160</v>
          </cell>
          <cell r="M132">
            <v>0</v>
          </cell>
        </row>
        <row r="133">
          <cell r="A133">
            <v>8205</v>
          </cell>
          <cell r="B133" t="str">
            <v>Insurance - Prod Liab</v>
          </cell>
          <cell r="C133">
            <v>122838.52</v>
          </cell>
          <cell r="D133">
            <v>123</v>
          </cell>
          <cell r="M133">
            <v>0</v>
          </cell>
        </row>
        <row r="134">
          <cell r="A134">
            <v>8300</v>
          </cell>
          <cell r="B134" t="str">
            <v>Expensed Equipment</v>
          </cell>
          <cell r="C134">
            <v>410621.07</v>
          </cell>
          <cell r="D134">
            <v>411</v>
          </cell>
          <cell r="K134">
            <v>-18</v>
          </cell>
          <cell r="M134">
            <v>-18</v>
          </cell>
        </row>
        <row r="135">
          <cell r="A135">
            <v>8301</v>
          </cell>
          <cell r="B135" t="str">
            <v>Expensed furn &amp; fixture</v>
          </cell>
          <cell r="C135">
            <v>169506.13</v>
          </cell>
          <cell r="D135">
            <v>170</v>
          </cell>
          <cell r="M135">
            <v>0</v>
          </cell>
        </row>
        <row r="136">
          <cell r="A136">
            <v>8305</v>
          </cell>
          <cell r="B136" t="str">
            <v>Computer Supplies</v>
          </cell>
          <cell r="C136">
            <v>442355.99</v>
          </cell>
          <cell r="D136">
            <v>442</v>
          </cell>
          <cell r="M136">
            <v>0</v>
          </cell>
        </row>
        <row r="137">
          <cell r="A137">
            <v>8310</v>
          </cell>
          <cell r="B137" t="str">
            <v>Expensed Software</v>
          </cell>
          <cell r="C137">
            <v>127514.49</v>
          </cell>
          <cell r="D137">
            <v>128</v>
          </cell>
          <cell r="M137">
            <v>0</v>
          </cell>
        </row>
        <row r="138">
          <cell r="A138">
            <v>8315</v>
          </cell>
          <cell r="B138" t="str">
            <v>Software Maintenance</v>
          </cell>
          <cell r="C138">
            <v>128791.41</v>
          </cell>
          <cell r="D138">
            <v>129</v>
          </cell>
          <cell r="M138">
            <v>0</v>
          </cell>
        </row>
        <row r="139">
          <cell r="A139">
            <v>8401</v>
          </cell>
          <cell r="B139" t="str">
            <v>Equipment supplies</v>
          </cell>
          <cell r="C139">
            <v>23889.69</v>
          </cell>
          <cell r="D139">
            <v>24</v>
          </cell>
          <cell r="M139">
            <v>0</v>
          </cell>
        </row>
        <row r="140">
          <cell r="A140">
            <v>8405</v>
          </cell>
          <cell r="B140" t="str">
            <v>Office Supplies</v>
          </cell>
          <cell r="C140">
            <v>187292.39</v>
          </cell>
          <cell r="D140">
            <v>187</v>
          </cell>
          <cell r="M140">
            <v>0</v>
          </cell>
        </row>
        <row r="141">
          <cell r="A141">
            <v>8406</v>
          </cell>
          <cell r="B141" t="str">
            <v>Office services</v>
          </cell>
          <cell r="C141">
            <v>66547.429999999993</v>
          </cell>
          <cell r="D141">
            <v>67</v>
          </cell>
          <cell r="K141">
            <v>-1</v>
          </cell>
          <cell r="M141">
            <v>-1</v>
          </cell>
        </row>
        <row r="142">
          <cell r="A142">
            <v>8410</v>
          </cell>
          <cell r="B142" t="str">
            <v>Postage &amp; Delivery</v>
          </cell>
          <cell r="C142">
            <v>103009.53</v>
          </cell>
          <cell r="D142">
            <v>103</v>
          </cell>
          <cell r="M142">
            <v>0</v>
          </cell>
        </row>
        <row r="143">
          <cell r="A143">
            <v>8415</v>
          </cell>
          <cell r="B143" t="str">
            <v>Dues, Subscriptn &amp; Books</v>
          </cell>
          <cell r="C143">
            <v>102962.39</v>
          </cell>
          <cell r="D143">
            <v>103</v>
          </cell>
          <cell r="M143">
            <v>0</v>
          </cell>
        </row>
        <row r="144">
          <cell r="A144">
            <v>8420</v>
          </cell>
          <cell r="B144" t="str">
            <v>Annual Maint / License</v>
          </cell>
          <cell r="C144">
            <v>74764.41</v>
          </cell>
          <cell r="D144">
            <v>75</v>
          </cell>
          <cell r="M144">
            <v>0</v>
          </cell>
        </row>
        <row r="145">
          <cell r="A145">
            <v>8425</v>
          </cell>
          <cell r="B145" t="str">
            <v>Equip Repair / Maint</v>
          </cell>
          <cell r="C145">
            <v>190077.09</v>
          </cell>
          <cell r="D145">
            <v>190</v>
          </cell>
          <cell r="M145">
            <v>0</v>
          </cell>
        </row>
        <row r="146">
          <cell r="A146">
            <v>8505</v>
          </cell>
          <cell r="B146" t="str">
            <v>Recruiting Expenses</v>
          </cell>
          <cell r="C146">
            <v>795440.54</v>
          </cell>
          <cell r="D146">
            <v>795</v>
          </cell>
          <cell r="M146">
            <v>0</v>
          </cell>
        </row>
        <row r="147">
          <cell r="A147">
            <v>8550</v>
          </cell>
          <cell r="B147" t="str">
            <v>Bank Charges</v>
          </cell>
          <cell r="C147">
            <v>37138.910000000003</v>
          </cell>
          <cell r="D147">
            <v>37</v>
          </cell>
          <cell r="M147">
            <v>0</v>
          </cell>
        </row>
        <row r="148">
          <cell r="A148">
            <v>8600</v>
          </cell>
          <cell r="B148" t="str">
            <v>Travel Expense - Air</v>
          </cell>
          <cell r="C148">
            <v>139613.20000000001</v>
          </cell>
          <cell r="D148">
            <v>140</v>
          </cell>
          <cell r="H148">
            <v>44</v>
          </cell>
          <cell r="M148">
            <v>44</v>
          </cell>
        </row>
        <row r="149">
          <cell r="A149">
            <v>8605</v>
          </cell>
          <cell r="B149" t="str">
            <v>Travel expense - Hotel</v>
          </cell>
          <cell r="C149">
            <v>30647.55</v>
          </cell>
          <cell r="D149">
            <v>31</v>
          </cell>
          <cell r="M149">
            <v>0</v>
          </cell>
        </row>
        <row r="150">
          <cell r="A150">
            <v>8607</v>
          </cell>
          <cell r="B150" t="str">
            <v>Travel Expense - Auto</v>
          </cell>
          <cell r="C150">
            <v>45559.4</v>
          </cell>
          <cell r="D150">
            <v>46</v>
          </cell>
          <cell r="M150">
            <v>0</v>
          </cell>
        </row>
        <row r="151">
          <cell r="A151">
            <v>8610</v>
          </cell>
          <cell r="B151" t="str">
            <v>Travel - Meals &amp; Entert</v>
          </cell>
          <cell r="C151">
            <v>6648.91</v>
          </cell>
          <cell r="D151">
            <v>7</v>
          </cell>
          <cell r="M151">
            <v>0</v>
          </cell>
        </row>
        <row r="152">
          <cell r="A152">
            <v>8710</v>
          </cell>
          <cell r="B152" t="str">
            <v>Payroll Processing Fee</v>
          </cell>
          <cell r="C152">
            <v>38308.519999999997</v>
          </cell>
          <cell r="D152">
            <v>38</v>
          </cell>
          <cell r="M152">
            <v>0</v>
          </cell>
        </row>
        <row r="153">
          <cell r="A153">
            <v>8720</v>
          </cell>
          <cell r="B153" t="str">
            <v>Miscellaneous Expenses</v>
          </cell>
          <cell r="C153">
            <v>65617.38</v>
          </cell>
          <cell r="D153">
            <v>66</v>
          </cell>
          <cell r="K153">
            <v>3</v>
          </cell>
          <cell r="M153">
            <v>3</v>
          </cell>
        </row>
        <row r="154">
          <cell r="A154">
            <v>8725</v>
          </cell>
          <cell r="B154" t="str">
            <v>Other Outside Services</v>
          </cell>
          <cell r="C154">
            <v>480034.01</v>
          </cell>
          <cell r="D154">
            <v>480</v>
          </cell>
          <cell r="K154">
            <v>-11</v>
          </cell>
          <cell r="M154">
            <v>-11</v>
          </cell>
        </row>
        <row r="155">
          <cell r="A155">
            <v>8800</v>
          </cell>
          <cell r="B155" t="str">
            <v>Supplies for MFG / OPS</v>
          </cell>
          <cell r="C155">
            <v>861055.33</v>
          </cell>
          <cell r="D155">
            <v>861</v>
          </cell>
          <cell r="K155">
            <v>-77</v>
          </cell>
          <cell r="M155">
            <v>-77</v>
          </cell>
        </row>
        <row r="156">
          <cell r="A156">
            <v>8805</v>
          </cell>
          <cell r="B156" t="str">
            <v>Feight in - Non Inv</v>
          </cell>
          <cell r="C156">
            <v>42976.25</v>
          </cell>
          <cell r="D156">
            <v>43</v>
          </cell>
          <cell r="K156">
            <v>-1</v>
          </cell>
          <cell r="M156">
            <v>-1</v>
          </cell>
        </row>
        <row r="157">
          <cell r="A157">
            <v>8899</v>
          </cell>
          <cell r="B157" t="str">
            <v>Inventory (Exp)</v>
          </cell>
          <cell r="C157">
            <v>6811084.8099999996</v>
          </cell>
          <cell r="D157">
            <v>6811</v>
          </cell>
          <cell r="K157">
            <v>-6797</v>
          </cell>
          <cell r="M157">
            <v>-6797</v>
          </cell>
        </row>
        <row r="158">
          <cell r="A158">
            <v>9105</v>
          </cell>
          <cell r="B158" t="str">
            <v>Interest expenses</v>
          </cell>
          <cell r="C158">
            <v>9882.52</v>
          </cell>
          <cell r="D158">
            <v>10</v>
          </cell>
          <cell r="M158">
            <v>0</v>
          </cell>
        </row>
        <row r="159">
          <cell r="A159">
            <v>9991</v>
          </cell>
          <cell r="B159" t="str">
            <v>CC allocation - Finance</v>
          </cell>
          <cell r="C159">
            <v>34310.5</v>
          </cell>
          <cell r="D159">
            <v>34</v>
          </cell>
          <cell r="M159">
            <v>0</v>
          </cell>
        </row>
        <row r="160">
          <cell r="A160">
            <v>9996</v>
          </cell>
          <cell r="B160" t="str">
            <v>CC Allocation - Leona</v>
          </cell>
          <cell r="C160">
            <v>46621.95</v>
          </cell>
          <cell r="D160">
            <v>47</v>
          </cell>
          <cell r="M160">
            <v>0</v>
          </cell>
        </row>
        <row r="161">
          <cell r="A161">
            <v>9999</v>
          </cell>
          <cell r="B161" t="str">
            <v>Suspense</v>
          </cell>
          <cell r="C161">
            <v>48811.8</v>
          </cell>
          <cell r="D161">
            <v>49</v>
          </cell>
          <cell r="K161">
            <v>0</v>
          </cell>
          <cell r="M161">
            <v>0</v>
          </cell>
        </row>
        <row r="162">
          <cell r="A162">
            <v>4010</v>
          </cell>
          <cell r="B162" t="str">
            <v>Revenue - Study</v>
          </cell>
          <cell r="C162">
            <v>0</v>
          </cell>
        </row>
        <row r="163">
          <cell r="A163">
            <v>4900</v>
          </cell>
          <cell r="B163" t="str">
            <v>Misc Revenue - OOP costs</v>
          </cell>
          <cell r="C163">
            <v>-1285</v>
          </cell>
          <cell r="D163">
            <v>-1</v>
          </cell>
          <cell r="M163">
            <v>0</v>
          </cell>
        </row>
        <row r="164">
          <cell r="A164">
            <v>5010</v>
          </cell>
          <cell r="B164" t="str">
            <v>COGS - Cartridges @ Std</v>
          </cell>
          <cell r="C164">
            <v>0</v>
          </cell>
        </row>
        <row r="165">
          <cell r="A165">
            <v>5410</v>
          </cell>
          <cell r="B165" t="str">
            <v>Freight - outbound</v>
          </cell>
          <cell r="C165">
            <v>0</v>
          </cell>
        </row>
        <row r="166">
          <cell r="A166">
            <v>5500</v>
          </cell>
          <cell r="B166" t="str">
            <v>Cost Revalue</v>
          </cell>
          <cell r="C166">
            <v>0</v>
          </cell>
        </row>
        <row r="167">
          <cell r="A167">
            <v>5300</v>
          </cell>
          <cell r="B167" t="str">
            <v>Laboratory test</v>
          </cell>
          <cell r="C167">
            <v>54977.23</v>
          </cell>
          <cell r="D167">
            <v>55</v>
          </cell>
          <cell r="M167">
            <v>0</v>
          </cell>
        </row>
        <row r="168">
          <cell r="A168">
            <v>5610</v>
          </cell>
          <cell r="B168" t="str">
            <v>Floor Stock - Cartridges</v>
          </cell>
          <cell r="C168">
            <v>529</v>
          </cell>
          <cell r="D168">
            <v>1</v>
          </cell>
          <cell r="M168">
            <v>0</v>
          </cell>
        </row>
        <row r="169">
          <cell r="A169">
            <v>5700</v>
          </cell>
          <cell r="B169" t="str">
            <v>Scrap Costs</v>
          </cell>
          <cell r="C169">
            <v>6176</v>
          </cell>
          <cell r="D169">
            <v>6</v>
          </cell>
          <cell r="M169">
            <v>0</v>
          </cell>
        </row>
        <row r="170">
          <cell r="A170">
            <v>5730</v>
          </cell>
          <cell r="B170" t="str">
            <v>Method Variance</v>
          </cell>
          <cell r="C170">
            <v>26409.87</v>
          </cell>
          <cell r="D170">
            <v>26</v>
          </cell>
          <cell r="M170">
            <v>0</v>
          </cell>
        </row>
        <row r="171">
          <cell r="A171">
            <v>5855</v>
          </cell>
          <cell r="B171" t="str">
            <v>AP Variance</v>
          </cell>
          <cell r="C171">
            <v>-3569.11</v>
          </cell>
          <cell r="D171">
            <v>-4</v>
          </cell>
          <cell r="M171">
            <v>0</v>
          </cell>
        </row>
        <row r="172">
          <cell r="A172">
            <v>5900</v>
          </cell>
          <cell r="B172" t="str">
            <v>Labor - Applied</v>
          </cell>
          <cell r="C172">
            <v>-18149.55</v>
          </cell>
          <cell r="D172">
            <v>-18</v>
          </cell>
          <cell r="M172">
            <v>0</v>
          </cell>
        </row>
        <row r="173">
          <cell r="A173">
            <v>5905</v>
          </cell>
          <cell r="B173" t="str">
            <v>OH applied - Cartridges</v>
          </cell>
          <cell r="C173">
            <v>-24310</v>
          </cell>
          <cell r="D173">
            <v>-24</v>
          </cell>
          <cell r="M173">
            <v>0</v>
          </cell>
        </row>
        <row r="174">
          <cell r="A174">
            <v>5998</v>
          </cell>
          <cell r="B174" t="str">
            <v>Cost of Production</v>
          </cell>
          <cell r="C174">
            <v>41389.760000000002</v>
          </cell>
          <cell r="D174">
            <v>41</v>
          </cell>
          <cell r="M174">
            <v>0</v>
          </cell>
        </row>
        <row r="175">
          <cell r="A175">
            <v>6080</v>
          </cell>
          <cell r="B175" t="str">
            <v>Other Fringe Beneftis</v>
          </cell>
          <cell r="C175">
            <v>7414</v>
          </cell>
          <cell r="D175">
            <v>7</v>
          </cell>
          <cell r="M175">
            <v>0</v>
          </cell>
        </row>
        <row r="176">
          <cell r="A176">
            <v>6082</v>
          </cell>
          <cell r="B176" t="str">
            <v>Other benefits - mileage</v>
          </cell>
          <cell r="C176">
            <v>9926.83</v>
          </cell>
          <cell r="D176">
            <v>10</v>
          </cell>
          <cell r="M176">
            <v>0</v>
          </cell>
        </row>
        <row r="177">
          <cell r="A177">
            <v>6083</v>
          </cell>
          <cell r="B177" t="str">
            <v>Other benefits - others</v>
          </cell>
          <cell r="C177">
            <v>4616.88</v>
          </cell>
          <cell r="D177">
            <v>5</v>
          </cell>
          <cell r="M177">
            <v>0</v>
          </cell>
        </row>
        <row r="178">
          <cell r="A178">
            <v>7100</v>
          </cell>
          <cell r="B178" t="str">
            <v>Depreciation Expense</v>
          </cell>
          <cell r="C178">
            <v>1604822.4</v>
          </cell>
          <cell r="D178">
            <v>1605</v>
          </cell>
          <cell r="M178">
            <v>0</v>
          </cell>
        </row>
        <row r="179">
          <cell r="A179">
            <v>7510</v>
          </cell>
          <cell r="B179" t="str">
            <v>Facility Services</v>
          </cell>
          <cell r="C179">
            <v>12900</v>
          </cell>
          <cell r="D179">
            <v>13</v>
          </cell>
          <cell r="M179">
            <v>0</v>
          </cell>
        </row>
        <row r="180">
          <cell r="A180">
            <v>7520</v>
          </cell>
          <cell r="B180" t="str">
            <v>Facility Janitorial</v>
          </cell>
          <cell r="C180">
            <v>122691.73</v>
          </cell>
          <cell r="D180">
            <v>123</v>
          </cell>
          <cell r="M180">
            <v>0</v>
          </cell>
        </row>
        <row r="181">
          <cell r="A181">
            <v>7531</v>
          </cell>
          <cell r="B181" t="str">
            <v>Facility Fixtures</v>
          </cell>
          <cell r="C181">
            <v>27416.9</v>
          </cell>
          <cell r="D181">
            <v>27</v>
          </cell>
          <cell r="M181">
            <v>0</v>
          </cell>
        </row>
        <row r="182">
          <cell r="A182">
            <v>7535</v>
          </cell>
          <cell r="B182" t="str">
            <v>Facility Licenses/permit</v>
          </cell>
          <cell r="C182">
            <v>10748</v>
          </cell>
          <cell r="D182">
            <v>11</v>
          </cell>
          <cell r="M182">
            <v>0</v>
          </cell>
        </row>
        <row r="183">
          <cell r="A183">
            <v>7545</v>
          </cell>
          <cell r="B183" t="str">
            <v>Facility Insurance</v>
          </cell>
          <cell r="C183">
            <v>293</v>
          </cell>
          <cell r="D183">
            <v>0</v>
          </cell>
          <cell r="M183">
            <v>0</v>
          </cell>
        </row>
        <row r="184">
          <cell r="A184">
            <v>7561</v>
          </cell>
          <cell r="B184" t="str">
            <v>Facility - moving</v>
          </cell>
          <cell r="C184">
            <v>208754.9</v>
          </cell>
          <cell r="D184">
            <v>209</v>
          </cell>
          <cell r="M184">
            <v>0</v>
          </cell>
        </row>
        <row r="185">
          <cell r="A185">
            <v>7805</v>
          </cell>
          <cell r="B185" t="str">
            <v>QA &amp; Test Lab Expenses</v>
          </cell>
          <cell r="C185">
            <v>687.08</v>
          </cell>
          <cell r="D185">
            <v>1</v>
          </cell>
          <cell r="M185">
            <v>0</v>
          </cell>
        </row>
        <row r="186">
          <cell r="A186">
            <v>7810</v>
          </cell>
          <cell r="B186" t="str">
            <v>Clin/Dev EQT Rental</v>
          </cell>
          <cell r="C186">
            <v>22.57</v>
          </cell>
          <cell r="D186">
            <v>0</v>
          </cell>
          <cell r="M186">
            <v>0</v>
          </cell>
        </row>
        <row r="187">
          <cell r="A187">
            <v>7815</v>
          </cell>
          <cell r="B187" t="str">
            <v>Clinical Trial Expenses</v>
          </cell>
          <cell r="C187">
            <v>2000</v>
          </cell>
          <cell r="D187">
            <v>2</v>
          </cell>
          <cell r="M187">
            <v>0</v>
          </cell>
        </row>
        <row r="188">
          <cell r="A188">
            <v>7832</v>
          </cell>
          <cell r="B188" t="str">
            <v>NRE charge</v>
          </cell>
          <cell r="C188">
            <v>4887.9399999999996</v>
          </cell>
          <cell r="D188">
            <v>5</v>
          </cell>
          <cell r="K188">
            <v>-3</v>
          </cell>
          <cell r="M188">
            <v>-3</v>
          </cell>
        </row>
        <row r="189">
          <cell r="A189">
            <v>7850</v>
          </cell>
          <cell r="B189" t="str">
            <v>Chemicals</v>
          </cell>
          <cell r="C189">
            <v>4380.26</v>
          </cell>
          <cell r="D189">
            <v>4</v>
          </cell>
          <cell r="M189">
            <v>0</v>
          </cell>
        </row>
        <row r="190">
          <cell r="A190">
            <v>7865</v>
          </cell>
          <cell r="B190" t="str">
            <v>Software Tools</v>
          </cell>
          <cell r="C190">
            <v>5169.03</v>
          </cell>
          <cell r="D190">
            <v>5</v>
          </cell>
          <cell r="M190">
            <v>0</v>
          </cell>
        </row>
        <row r="191">
          <cell r="A191">
            <v>7999</v>
          </cell>
          <cell r="B191" t="str">
            <v>R&amp;D inventory</v>
          </cell>
          <cell r="C191">
            <v>-11383.58</v>
          </cell>
          <cell r="D191">
            <v>-11</v>
          </cell>
          <cell r="K191">
            <v>0</v>
          </cell>
          <cell r="M191">
            <v>0</v>
          </cell>
        </row>
        <row r="192">
          <cell r="A192">
            <v>8000</v>
          </cell>
          <cell r="B192" t="str">
            <v>Conference/Seminar/Train</v>
          </cell>
          <cell r="C192">
            <v>30186.3</v>
          </cell>
          <cell r="D192">
            <v>30</v>
          </cell>
          <cell r="M192">
            <v>0</v>
          </cell>
        </row>
        <row r="193">
          <cell r="A193">
            <v>8020</v>
          </cell>
          <cell r="B193" t="str">
            <v>Web Site</v>
          </cell>
          <cell r="C193">
            <v>0</v>
          </cell>
        </row>
        <row r="194">
          <cell r="A194">
            <v>8025</v>
          </cell>
          <cell r="B194" t="str">
            <v>Graphic Design</v>
          </cell>
          <cell r="C194">
            <v>605.52</v>
          </cell>
          <cell r="D194">
            <v>1</v>
          </cell>
          <cell r="M194">
            <v>0</v>
          </cell>
        </row>
        <row r="195">
          <cell r="A195">
            <v>8045</v>
          </cell>
          <cell r="B195" t="str">
            <v>Market Research</v>
          </cell>
          <cell r="C195">
            <v>2017.95</v>
          </cell>
          <cell r="D195">
            <v>2</v>
          </cell>
          <cell r="M195">
            <v>0</v>
          </cell>
        </row>
        <row r="196">
          <cell r="A196">
            <v>8046</v>
          </cell>
          <cell r="B196" t="str">
            <v>Study cost</v>
          </cell>
          <cell r="C196">
            <v>14075</v>
          </cell>
          <cell r="D196">
            <v>14</v>
          </cell>
          <cell r="M196">
            <v>0</v>
          </cell>
        </row>
        <row r="197">
          <cell r="A197">
            <v>8105</v>
          </cell>
          <cell r="B197" t="str">
            <v>Auditing Services</v>
          </cell>
          <cell r="C197">
            <v>100000</v>
          </cell>
          <cell r="D197">
            <v>100</v>
          </cell>
          <cell r="M197">
            <v>0</v>
          </cell>
        </row>
        <row r="198">
          <cell r="A198">
            <v>8110</v>
          </cell>
          <cell r="B198" t="str">
            <v>Tax Services</v>
          </cell>
          <cell r="C198">
            <v>25575</v>
          </cell>
          <cell r="D198">
            <v>26</v>
          </cell>
          <cell r="M198">
            <v>0</v>
          </cell>
        </row>
        <row r="199">
          <cell r="A199">
            <v>8117</v>
          </cell>
          <cell r="B199" t="str">
            <v>Legal - employment</v>
          </cell>
          <cell r="C199">
            <v>1070.47</v>
          </cell>
          <cell r="D199">
            <v>1</v>
          </cell>
          <cell r="M199">
            <v>0</v>
          </cell>
        </row>
        <row r="200">
          <cell r="A200">
            <v>8120</v>
          </cell>
          <cell r="B200" t="str">
            <v>Legal - Litigation</v>
          </cell>
          <cell r="C200">
            <v>94693.93</v>
          </cell>
          <cell r="D200">
            <v>95</v>
          </cell>
          <cell r="M200">
            <v>0</v>
          </cell>
        </row>
        <row r="201">
          <cell r="A201">
            <v>8130</v>
          </cell>
          <cell r="B201" t="str">
            <v>Legal - Trademarks</v>
          </cell>
          <cell r="C201">
            <v>178534.39</v>
          </cell>
          <cell r="D201">
            <v>179</v>
          </cell>
          <cell r="M201">
            <v>0</v>
          </cell>
        </row>
        <row r="202">
          <cell r="A202">
            <v>8132</v>
          </cell>
          <cell r="B202" t="str">
            <v>Legal - License</v>
          </cell>
          <cell r="C202">
            <v>102</v>
          </cell>
          <cell r="D202">
            <v>0</v>
          </cell>
          <cell r="M202">
            <v>0</v>
          </cell>
        </row>
        <row r="203">
          <cell r="A203">
            <v>8135</v>
          </cell>
          <cell r="B203" t="str">
            <v>Regulatory Submissions</v>
          </cell>
          <cell r="C203">
            <v>2655</v>
          </cell>
          <cell r="D203">
            <v>3</v>
          </cell>
          <cell r="M203">
            <v>0</v>
          </cell>
        </row>
        <row r="204">
          <cell r="A204">
            <v>8140</v>
          </cell>
          <cell r="B204" t="str">
            <v>Legal - Regulatory</v>
          </cell>
          <cell r="C204">
            <v>102009.01</v>
          </cell>
          <cell r="D204">
            <v>102</v>
          </cell>
          <cell r="M204">
            <v>0</v>
          </cell>
        </row>
        <row r="205">
          <cell r="A205">
            <v>8150</v>
          </cell>
          <cell r="B205" t="str">
            <v>Meals &amp; Entertainments</v>
          </cell>
          <cell r="C205">
            <v>2667.9</v>
          </cell>
          <cell r="D205">
            <v>3</v>
          </cell>
          <cell r="M205">
            <v>0</v>
          </cell>
        </row>
        <row r="206">
          <cell r="A206">
            <v>8304</v>
          </cell>
          <cell r="B206" t="str">
            <v>Exp Eqt/computer Offsite</v>
          </cell>
          <cell r="C206">
            <v>124895.69</v>
          </cell>
          <cell r="D206">
            <v>125</v>
          </cell>
          <cell r="K206">
            <v>-13</v>
          </cell>
          <cell r="M206">
            <v>-13</v>
          </cell>
        </row>
        <row r="207">
          <cell r="A207">
            <v>8307</v>
          </cell>
          <cell r="B207" t="str">
            <v>Computer supplies - LAN</v>
          </cell>
          <cell r="C207">
            <v>2152.02</v>
          </cell>
          <cell r="D207">
            <v>2</v>
          </cell>
          <cell r="M207">
            <v>0</v>
          </cell>
        </row>
        <row r="208">
          <cell r="A208">
            <v>8430</v>
          </cell>
          <cell r="B208" t="str">
            <v>Equipment Lease / Rental</v>
          </cell>
          <cell r="C208">
            <v>79387.929999999993</v>
          </cell>
          <cell r="D208">
            <v>79</v>
          </cell>
          <cell r="M208">
            <v>0</v>
          </cell>
        </row>
        <row r="209">
          <cell r="A209">
            <v>8500</v>
          </cell>
          <cell r="B209" t="str">
            <v>Relocation Expenses</v>
          </cell>
          <cell r="C209">
            <v>62920.41</v>
          </cell>
          <cell r="D209">
            <v>63</v>
          </cell>
          <cell r="M209">
            <v>0</v>
          </cell>
        </row>
        <row r="210">
          <cell r="A210">
            <v>8601</v>
          </cell>
          <cell r="B210" t="str">
            <v>Travel expense - Air (J)</v>
          </cell>
          <cell r="C210">
            <v>0</v>
          </cell>
        </row>
        <row r="211">
          <cell r="A211">
            <v>8615</v>
          </cell>
          <cell r="B211" t="str">
            <v>Travel - Other</v>
          </cell>
          <cell r="C211">
            <v>4900.01</v>
          </cell>
          <cell r="D211">
            <v>5</v>
          </cell>
          <cell r="M211">
            <v>0</v>
          </cell>
        </row>
        <row r="212">
          <cell r="A212">
            <v>8715</v>
          </cell>
          <cell r="B212" t="str">
            <v>Charitable Contributions</v>
          </cell>
          <cell r="C212">
            <v>1000</v>
          </cell>
          <cell r="D212">
            <v>1</v>
          </cell>
          <cell r="M212">
            <v>0</v>
          </cell>
        </row>
        <row r="213">
          <cell r="A213">
            <v>8810</v>
          </cell>
          <cell r="B213" t="str">
            <v>Quality control</v>
          </cell>
          <cell r="C213">
            <v>693.6</v>
          </cell>
          <cell r="D213">
            <v>1</v>
          </cell>
          <cell r="K213">
            <v>-1</v>
          </cell>
          <cell r="M213">
            <v>-1</v>
          </cell>
        </row>
        <row r="214">
          <cell r="A214">
            <v>8900</v>
          </cell>
          <cell r="B214" t="str">
            <v>G&amp;A Allocation - Out</v>
          </cell>
          <cell r="C214">
            <v>-4073730.1</v>
          </cell>
          <cell r="D214">
            <v>-4074</v>
          </cell>
          <cell r="M214">
            <v>0</v>
          </cell>
        </row>
        <row r="215">
          <cell r="A215">
            <v>8905</v>
          </cell>
          <cell r="B215" t="str">
            <v>G&amp;A Allocation - In</v>
          </cell>
          <cell r="C215">
            <v>4073730.1</v>
          </cell>
          <cell r="D215">
            <v>4074</v>
          </cell>
          <cell r="M215">
            <v>0</v>
          </cell>
        </row>
        <row r="216">
          <cell r="A216">
            <v>8910</v>
          </cell>
          <cell r="B216" t="str">
            <v>Facility Allocation-Out</v>
          </cell>
          <cell r="C216">
            <v>-5232683.3499999996</v>
          </cell>
          <cell r="D216">
            <v>-5233</v>
          </cell>
          <cell r="M216">
            <v>0</v>
          </cell>
        </row>
        <row r="217">
          <cell r="A217">
            <v>8915</v>
          </cell>
          <cell r="B217" t="str">
            <v>Facility Allocation - In</v>
          </cell>
          <cell r="C217">
            <v>5232683.3499999996</v>
          </cell>
          <cell r="D217">
            <v>5233</v>
          </cell>
          <cell r="M217">
            <v>0</v>
          </cell>
        </row>
        <row r="218">
          <cell r="A218">
            <v>8920</v>
          </cell>
          <cell r="B218" t="str">
            <v>IT Allocation - Out</v>
          </cell>
          <cell r="C218">
            <v>-1376229.96</v>
          </cell>
          <cell r="D218">
            <v>-1376</v>
          </cell>
          <cell r="M218">
            <v>0</v>
          </cell>
        </row>
        <row r="219">
          <cell r="A219">
            <v>8925</v>
          </cell>
          <cell r="B219" t="str">
            <v>IT Allocation - In</v>
          </cell>
          <cell r="C219">
            <v>1376229.96</v>
          </cell>
          <cell r="D219">
            <v>1376</v>
          </cell>
          <cell r="M219">
            <v>0</v>
          </cell>
        </row>
        <row r="220">
          <cell r="A220">
            <v>9100</v>
          </cell>
          <cell r="B220" t="str">
            <v>Interest Income</v>
          </cell>
          <cell r="C220">
            <v>-62114.62</v>
          </cell>
          <cell r="D220">
            <v>-62</v>
          </cell>
          <cell r="M220">
            <v>0</v>
          </cell>
        </row>
        <row r="221">
          <cell r="A221">
            <v>9110</v>
          </cell>
          <cell r="B221" t="str">
            <v>Other expenses</v>
          </cell>
          <cell r="C221">
            <v>49050</v>
          </cell>
          <cell r="D221">
            <v>49</v>
          </cell>
          <cell r="M221">
            <v>0</v>
          </cell>
        </row>
        <row r="222">
          <cell r="A222">
            <v>9500</v>
          </cell>
          <cell r="B222" t="str">
            <v>Income tax - States</v>
          </cell>
          <cell r="C222">
            <v>1570</v>
          </cell>
          <cell r="D222">
            <v>2</v>
          </cell>
          <cell r="M2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0" workbookViewId="0">
      <selection activeCell="B41" sqref="B41"/>
    </sheetView>
  </sheetViews>
  <sheetFormatPr defaultRowHeight="15" x14ac:dyDescent="0.25"/>
  <cols>
    <col min="1" max="1" width="11.28515625" customWidth="1"/>
    <col min="2" max="2" width="28.140625" customWidth="1"/>
    <col min="3" max="3" width="18.42578125" customWidth="1"/>
    <col min="4" max="4" width="1.28515625" style="59" customWidth="1"/>
    <col min="5" max="5" width="17.28515625" customWidth="1"/>
    <col min="6" max="6" width="18.85546875" hidden="1" customWidth="1"/>
    <col min="7" max="7" width="9.140625" customWidth="1"/>
  </cols>
  <sheetData>
    <row r="1" spans="1:7" s="52" customFormat="1" ht="12.95" customHeight="1" x14ac:dyDescent="0.25">
      <c r="A1" s="50" t="s">
        <v>294</v>
      </c>
      <c r="B1" s="51"/>
      <c r="C1" s="51"/>
      <c r="D1" s="54"/>
      <c r="E1" s="51"/>
      <c r="F1" s="51"/>
      <c r="G1" s="51"/>
    </row>
    <row r="2" spans="1:7" s="52" customFormat="1" ht="20.100000000000001" customHeight="1" x14ac:dyDescent="0.25">
      <c r="A2" s="51" t="s">
        <v>300</v>
      </c>
      <c r="B2" s="51"/>
      <c r="C2" s="51"/>
      <c r="D2" s="54"/>
      <c r="E2" s="51"/>
      <c r="F2" s="51"/>
      <c r="G2" s="51"/>
    </row>
    <row r="3" spans="1:7" s="52" customFormat="1" ht="20.100000000000001" customHeight="1" x14ac:dyDescent="0.25">
      <c r="A3" s="51" t="s">
        <v>303</v>
      </c>
      <c r="B3" s="51"/>
      <c r="C3" s="51"/>
      <c r="D3" s="54"/>
      <c r="E3" s="51"/>
      <c r="F3" s="51"/>
      <c r="G3" s="51"/>
    </row>
    <row r="5" spans="1:7" x14ac:dyDescent="0.25">
      <c r="C5" s="8">
        <v>41305</v>
      </c>
      <c r="D5" s="55"/>
      <c r="E5" s="8">
        <v>41274</v>
      </c>
      <c r="F5" s="8">
        <v>40908</v>
      </c>
    </row>
    <row r="6" spans="1:7" x14ac:dyDescent="0.25">
      <c r="C6" s="9" t="s">
        <v>215</v>
      </c>
      <c r="D6" s="56"/>
      <c r="E6" s="9" t="s">
        <v>215</v>
      </c>
      <c r="F6" s="9" t="s">
        <v>215</v>
      </c>
    </row>
    <row r="7" spans="1:7" x14ac:dyDescent="0.25">
      <c r="A7" s="7" t="s">
        <v>227</v>
      </c>
      <c r="C7" s="7"/>
      <c r="D7" s="57"/>
    </row>
    <row r="8" spans="1:7" x14ac:dyDescent="0.25">
      <c r="A8" s="10" t="s">
        <v>228</v>
      </c>
      <c r="C8" s="11">
        <f>SUM(TB!P8:P14,TB!P59)</f>
        <v>70789</v>
      </c>
      <c r="D8" s="58"/>
      <c r="E8" s="11">
        <f>SUM(TB!O8:O14,TB!O59)</f>
        <v>51745</v>
      </c>
      <c r="F8" s="11">
        <v>88056</v>
      </c>
    </row>
    <row r="9" spans="1:7" x14ac:dyDescent="0.25">
      <c r="A9" s="10" t="s">
        <v>305</v>
      </c>
      <c r="C9" s="4">
        <v>25000</v>
      </c>
      <c r="D9" s="16"/>
      <c r="E9" s="4">
        <v>0</v>
      </c>
      <c r="F9" s="11"/>
    </row>
    <row r="10" spans="1:7" x14ac:dyDescent="0.25">
      <c r="A10" s="10" t="s">
        <v>229</v>
      </c>
      <c r="C10" s="4">
        <f>TB!P17</f>
        <v>7733</v>
      </c>
      <c r="D10" s="16"/>
      <c r="E10" s="4">
        <f>TB!O17</f>
        <v>7546</v>
      </c>
      <c r="F10" s="4">
        <v>0</v>
      </c>
    </row>
    <row r="11" spans="1:7" x14ac:dyDescent="0.25">
      <c r="A11" s="10" t="s">
        <v>230</v>
      </c>
      <c r="C11" s="4">
        <f>SUM(TB!P23:P34,TB!P62)</f>
        <v>1992</v>
      </c>
      <c r="D11" s="16"/>
      <c r="E11" s="4">
        <f>SUM(TB!O23:O34,TB!O62)</f>
        <v>1812</v>
      </c>
      <c r="F11" s="4">
        <v>665</v>
      </c>
    </row>
    <row r="12" spans="1:7" ht="15.75" thickBot="1" x14ac:dyDescent="0.3">
      <c r="A12" s="7" t="s">
        <v>231</v>
      </c>
      <c r="C12" s="12">
        <f>SUM(C8:C11)</f>
        <v>105514</v>
      </c>
      <c r="D12" s="16"/>
      <c r="E12" s="12">
        <f>SUM(E8:E11)</f>
        <v>61103</v>
      </c>
      <c r="F12" s="12">
        <f>SUM(F8:F11)</f>
        <v>88721</v>
      </c>
      <c r="G12" s="19"/>
    </row>
    <row r="13" spans="1:7" ht="15.75" thickTop="1" x14ac:dyDescent="0.25">
      <c r="C13" s="4"/>
      <c r="D13" s="16"/>
      <c r="E13" s="4"/>
      <c r="F13" s="4"/>
    </row>
    <row r="14" spans="1:7" x14ac:dyDescent="0.25">
      <c r="A14" s="13" t="s">
        <v>232</v>
      </c>
      <c r="C14" s="4">
        <f>SUM(TB!P35:P58)</f>
        <v>19491</v>
      </c>
      <c r="D14" s="16"/>
      <c r="E14" s="4">
        <f>SUM(TB!O35:O58)</f>
        <v>19553</v>
      </c>
      <c r="F14" s="4">
        <v>4548</v>
      </c>
      <c r="G14" s="5"/>
    </row>
    <row r="16" spans="1:7" ht="15.75" thickBot="1" x14ac:dyDescent="0.3">
      <c r="A16" s="7" t="s">
        <v>233</v>
      </c>
      <c r="C16" s="14">
        <f>C12+C14</f>
        <v>125005</v>
      </c>
      <c r="D16" s="60"/>
      <c r="E16" s="14">
        <f>E12+E14</f>
        <v>80656</v>
      </c>
      <c r="F16" s="14">
        <f>F12+F14</f>
        <v>93269</v>
      </c>
    </row>
    <row r="17" spans="1:8" ht="15.75" thickTop="1" x14ac:dyDescent="0.25"/>
    <row r="18" spans="1:8" x14ac:dyDescent="0.25">
      <c r="A18" s="7"/>
    </row>
    <row r="19" spans="1:8" x14ac:dyDescent="0.25">
      <c r="A19" s="7" t="s">
        <v>234</v>
      </c>
    </row>
    <row r="20" spans="1:8" x14ac:dyDescent="0.25">
      <c r="A20" s="10" t="s">
        <v>235</v>
      </c>
      <c r="C20" s="11">
        <f>-TB!P63</f>
        <v>3537</v>
      </c>
      <c r="D20" s="58"/>
      <c r="E20" s="11">
        <f>-TB!O63</f>
        <v>4454</v>
      </c>
      <c r="F20" s="11">
        <v>1238</v>
      </c>
    </row>
    <row r="21" spans="1:8" x14ac:dyDescent="0.25">
      <c r="A21" s="10" t="s">
        <v>306</v>
      </c>
      <c r="C21" s="4">
        <f>98308/2</f>
        <v>49154</v>
      </c>
      <c r="D21" s="16"/>
      <c r="E21" s="4">
        <f>-TB!O74-25000</f>
        <v>-24987</v>
      </c>
      <c r="F21" s="4">
        <v>77301</v>
      </c>
    </row>
    <row r="22" spans="1:8" x14ac:dyDescent="0.25">
      <c r="A22" s="10" t="s">
        <v>236</v>
      </c>
      <c r="C22" s="15">
        <f>-SUM(TB!P64:P75,TB!P77,TB!P82)</f>
        <v>3638</v>
      </c>
      <c r="D22" s="16"/>
      <c r="E22" s="15">
        <f>-SUM(TB!O64:O75,TB!O77,TB!O82)</f>
        <v>3686</v>
      </c>
      <c r="F22" s="15">
        <v>2833</v>
      </c>
    </row>
    <row r="23" spans="1:8" x14ac:dyDescent="0.25">
      <c r="A23" s="7" t="s">
        <v>237</v>
      </c>
      <c r="C23" s="16">
        <f>SUM(C20:C22)</f>
        <v>56329</v>
      </c>
      <c r="D23" s="16"/>
      <c r="E23" s="16">
        <f>SUM(E20:E22)</f>
        <v>-16847</v>
      </c>
      <c r="F23" s="16">
        <f>SUM(F20:F22)</f>
        <v>81372</v>
      </c>
      <c r="H23" s="5"/>
    </row>
    <row r="25" spans="1:8" x14ac:dyDescent="0.25">
      <c r="A25" s="10" t="s">
        <v>306</v>
      </c>
      <c r="C25" s="4">
        <f>-TB!P78/2</f>
        <v>49154</v>
      </c>
      <c r="D25" s="16"/>
      <c r="E25" s="4">
        <f>-TB!O78-25000</f>
        <v>73308</v>
      </c>
      <c r="F25" s="4">
        <v>77301</v>
      </c>
    </row>
    <row r="26" spans="1:8" x14ac:dyDescent="0.25">
      <c r="A26" s="10" t="s">
        <v>238</v>
      </c>
      <c r="C26" s="4">
        <f>40000+25000</f>
        <v>65000</v>
      </c>
      <c r="D26" s="16"/>
      <c r="E26" s="4">
        <v>40000</v>
      </c>
      <c r="F26" s="4">
        <v>0</v>
      </c>
    </row>
    <row r="27" spans="1:8" x14ac:dyDescent="0.25">
      <c r="A27" s="10" t="s">
        <v>239</v>
      </c>
      <c r="C27" s="4">
        <f>-TB!P76</f>
        <v>3357</v>
      </c>
      <c r="D27" s="16"/>
      <c r="E27" s="4">
        <f>-TB!O76</f>
        <v>3357</v>
      </c>
      <c r="F27" s="4">
        <v>5959</v>
      </c>
    </row>
    <row r="28" spans="1:8" x14ac:dyDescent="0.25">
      <c r="A28" s="10" t="s">
        <v>240</v>
      </c>
      <c r="C28" s="15">
        <f>-SUM(TB!P83:P84)</f>
        <v>2220</v>
      </c>
      <c r="D28" s="16"/>
      <c r="E28" s="15">
        <f>-SUM(TB!O83:O84)</f>
        <v>2192</v>
      </c>
      <c r="F28" s="15">
        <v>780</v>
      </c>
    </row>
    <row r="29" spans="1:8" x14ac:dyDescent="0.25">
      <c r="A29" s="7" t="s">
        <v>241</v>
      </c>
      <c r="C29" s="4">
        <f>SUM(C23:C28)</f>
        <v>176060</v>
      </c>
      <c r="D29" s="16"/>
      <c r="E29" s="4">
        <f>SUM(E23:E28)</f>
        <v>102010</v>
      </c>
      <c r="F29" s="4">
        <f>SUM(F23:F28)</f>
        <v>165412</v>
      </c>
      <c r="G29" s="19"/>
    </row>
    <row r="31" spans="1:8" x14ac:dyDescent="0.25">
      <c r="A31" s="10" t="s">
        <v>82</v>
      </c>
      <c r="C31" s="4">
        <f>-SUM(TB!P85:P86)</f>
        <v>7291</v>
      </c>
      <c r="D31" s="16"/>
      <c r="E31" s="4">
        <f>-SUM(TB!O85:O86)</f>
        <v>7291</v>
      </c>
      <c r="F31" s="4">
        <v>4679</v>
      </c>
      <c r="G31" s="5"/>
    </row>
    <row r="32" spans="1:8" x14ac:dyDescent="0.25">
      <c r="A32" s="10" t="s">
        <v>242</v>
      </c>
      <c r="C32" s="4">
        <f>-SUM(TB!P87:P97)</f>
        <v>107687</v>
      </c>
      <c r="D32" s="16"/>
      <c r="E32" s="4">
        <f>-SUM(TB!O87:O97)</f>
        <v>107687</v>
      </c>
      <c r="F32" s="4">
        <v>104687</v>
      </c>
    </row>
    <row r="33" spans="1:7" x14ac:dyDescent="0.25">
      <c r="A33" s="10" t="s">
        <v>243</v>
      </c>
      <c r="C33" s="15">
        <f>-TB!P98-TB!P99-SUM(TB!P101:P232)</f>
        <v>-166033</v>
      </c>
      <c r="D33" s="16"/>
      <c r="E33" s="15">
        <f>-TB!O98-TB!O99-SUM(TB!O101:O223)</f>
        <v>-161319</v>
      </c>
      <c r="F33" s="15">
        <v>-104208</v>
      </c>
      <c r="G33" s="5"/>
    </row>
    <row r="34" spans="1:7" x14ac:dyDescent="0.25">
      <c r="A34" s="7" t="s">
        <v>244</v>
      </c>
      <c r="C34" s="4">
        <f>SUM(C31:C33)</f>
        <v>-51055</v>
      </c>
      <c r="D34" s="16"/>
      <c r="E34" s="4">
        <f>SUM(E31:E33)</f>
        <v>-46341</v>
      </c>
      <c r="F34" s="4">
        <f>SUM(F31:F33)</f>
        <v>5158</v>
      </c>
    </row>
    <row r="35" spans="1:7" x14ac:dyDescent="0.25">
      <c r="A35" s="7"/>
      <c r="C35" s="4"/>
      <c r="D35" s="16"/>
      <c r="E35" s="4"/>
      <c r="F35" s="4"/>
    </row>
    <row r="36" spans="1:7" ht="15.75" thickBot="1" x14ac:dyDescent="0.3">
      <c r="A36" s="7" t="s">
        <v>245</v>
      </c>
      <c r="C36" s="17">
        <f>C29+C34</f>
        <v>125005</v>
      </c>
      <c r="D36" s="58"/>
      <c r="E36" s="17">
        <f>E29+E34</f>
        <v>55669</v>
      </c>
      <c r="F36" s="17">
        <f>F29+F34</f>
        <v>170570</v>
      </c>
    </row>
    <row r="37" spans="1:7" ht="15.75" thickTop="1" x14ac:dyDescent="0.25">
      <c r="C37" s="18"/>
      <c r="D37" s="60"/>
      <c r="E37" s="18"/>
      <c r="F37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N15" sqref="N15"/>
    </sheetView>
  </sheetViews>
  <sheetFormatPr defaultColWidth="8.7109375" defaultRowHeight="15" x14ac:dyDescent="0.25"/>
  <cols>
    <col min="1" max="6" width="2.28515625" style="42" customWidth="1"/>
    <col min="7" max="7" width="41.42578125" style="42" customWidth="1"/>
    <col min="8" max="8" width="2.42578125" style="42" customWidth="1"/>
    <col min="9" max="9" width="13.85546875" style="42" customWidth="1"/>
    <col min="10" max="10" width="2.42578125" style="42" customWidth="1"/>
    <col min="11" max="11" width="13.85546875" style="42" customWidth="1"/>
    <col min="12" max="12" width="2.42578125" style="42" hidden="1" customWidth="1"/>
    <col min="13" max="13" width="13.85546875" style="42" hidden="1" customWidth="1"/>
    <col min="14" max="16384" width="8.7109375" style="42"/>
  </cols>
  <sheetData>
    <row r="1" spans="1:13" ht="12.95" customHeight="1" x14ac:dyDescent="0.25">
      <c r="A1" s="40" t="s">
        <v>294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0.100000000000001" customHeight="1" x14ac:dyDescent="0.25">
      <c r="A2" s="41" t="s">
        <v>295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0.100000000000001" customHeight="1" x14ac:dyDescent="0.25">
      <c r="A3" s="41" t="s">
        <v>302</v>
      </c>
      <c r="B3" s="41"/>
      <c r="C3" s="41"/>
      <c r="D3" s="41"/>
      <c r="E3" s="41"/>
      <c r="F3" s="41"/>
      <c r="G3" s="41"/>
      <c r="H3" s="41"/>
      <c r="I3" s="41"/>
      <c r="J3" s="40"/>
      <c r="K3" s="41"/>
      <c r="L3" s="41"/>
      <c r="M3" s="41"/>
    </row>
    <row r="4" spans="1:13" ht="39" customHeight="1" x14ac:dyDescent="0.25">
      <c r="I4" s="53">
        <v>41275</v>
      </c>
      <c r="J4" s="44"/>
      <c r="K4" s="43">
        <v>2012</v>
      </c>
      <c r="M4" s="43">
        <v>2011</v>
      </c>
    </row>
    <row r="5" spans="1:13" ht="20.100000000000001" customHeight="1" x14ac:dyDescent="0.25">
      <c r="A5" s="47" t="s">
        <v>297</v>
      </c>
      <c r="B5" s="47"/>
      <c r="C5" s="47"/>
      <c r="D5" s="47"/>
      <c r="E5" s="47"/>
      <c r="F5" s="47"/>
      <c r="G5" s="47"/>
      <c r="H5" s="47"/>
      <c r="I5" s="46">
        <f>-SUM(TB!P100:P216,TB!P221:P232)</f>
        <v>-4713</v>
      </c>
      <c r="J5" s="47"/>
      <c r="K5" s="46">
        <f>-SUM(TB!O100:O216,TB!O221:O223)+2</f>
        <v>-57112</v>
      </c>
      <c r="M5" s="48">
        <v>28257</v>
      </c>
    </row>
    <row r="6" spans="1:13" x14ac:dyDescent="0.25">
      <c r="A6" s="47" t="s">
        <v>298</v>
      </c>
      <c r="B6" s="47"/>
      <c r="C6" s="47"/>
      <c r="D6" s="47"/>
      <c r="E6" s="47"/>
      <c r="F6" s="47"/>
      <c r="G6" s="47"/>
      <c r="H6" s="47"/>
      <c r="I6" s="46">
        <f>-TB!P217-TB!P219-TB!P220</f>
        <v>0</v>
      </c>
      <c r="J6" s="61"/>
      <c r="K6" s="46">
        <f>-TB!O217-TB!O219-TB!O220</f>
        <v>11</v>
      </c>
      <c r="M6" s="46">
        <v>79</v>
      </c>
    </row>
    <row r="7" spans="1:13" ht="12.95" customHeight="1" x14ac:dyDescent="0.25">
      <c r="A7" s="47" t="s">
        <v>299</v>
      </c>
      <c r="B7" s="47"/>
      <c r="C7" s="47"/>
      <c r="D7" s="47"/>
      <c r="E7" s="47"/>
      <c r="F7" s="47"/>
      <c r="G7" s="47"/>
      <c r="H7" s="47"/>
      <c r="I7" s="48">
        <f>-TB!P218</f>
        <v>-1</v>
      </c>
      <c r="J7" s="47"/>
      <c r="K7" s="48">
        <f>-TB!O218</f>
        <v>-10</v>
      </c>
      <c r="M7" s="48">
        <v>-3</v>
      </c>
    </row>
    <row r="8" spans="1:13" ht="20.100000000000001" customHeight="1" thickBot="1" x14ac:dyDescent="0.3">
      <c r="B8" s="47"/>
      <c r="C8" s="47"/>
      <c r="D8" s="47" t="s">
        <v>255</v>
      </c>
      <c r="E8" s="47"/>
      <c r="G8" s="47"/>
      <c r="H8" s="45" t="s">
        <v>296</v>
      </c>
      <c r="I8" s="49">
        <f>SUM(I5:I7)</f>
        <v>-4714</v>
      </c>
      <c r="J8" s="45"/>
      <c r="K8" s="49">
        <f>SUM(K5:K7)</f>
        <v>-57111</v>
      </c>
      <c r="M8" s="49" t="e">
        <f>SUM(#REF!+M6+M7)</f>
        <v>#REF!</v>
      </c>
    </row>
    <row r="9" spans="1:13" ht="15.75" thickTop="1" x14ac:dyDescent="0.25"/>
  </sheetData>
  <pageMargins left="0.8" right="0.7" top="1" bottom="0.8" header="0.5" footer="0.5"/>
  <pageSetup scale="87" firstPageNumber="3" orientation="portrait" blackAndWhite="1" useFirstPageNumber="1" r:id="rId1"/>
  <headerFooter alignWithMargins="0">
    <oddFooter>&amp;C&amp;"Times New Roman,Regular"&amp;11&amp;P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34" sqref="A34"/>
    </sheetView>
  </sheetViews>
  <sheetFormatPr defaultRowHeight="15" x14ac:dyDescent="0.25"/>
  <cols>
    <col min="1" max="1" width="55.140625" bestFit="1" customWidth="1"/>
    <col min="2" max="3" width="12.85546875" customWidth="1"/>
  </cols>
  <sheetData>
    <row r="1" spans="1:3" s="42" customFormat="1" ht="12.95" customHeight="1" x14ac:dyDescent="0.25">
      <c r="A1" s="40" t="s">
        <v>294</v>
      </c>
      <c r="B1" s="41"/>
      <c r="C1" s="41"/>
    </row>
    <row r="2" spans="1:3" s="42" customFormat="1" ht="20.100000000000001" customHeight="1" x14ac:dyDescent="0.25">
      <c r="A2" s="41" t="s">
        <v>295</v>
      </c>
      <c r="B2" s="41"/>
      <c r="C2" s="41"/>
    </row>
    <row r="3" spans="1:3" s="42" customFormat="1" ht="20.100000000000001" customHeight="1" x14ac:dyDescent="0.25">
      <c r="A3" s="41" t="s">
        <v>301</v>
      </c>
      <c r="B3" s="41"/>
      <c r="C3" s="41"/>
    </row>
    <row r="5" spans="1:3" x14ac:dyDescent="0.25">
      <c r="B5" s="39">
        <v>41275</v>
      </c>
      <c r="C5" s="9">
        <v>2012</v>
      </c>
    </row>
    <row r="6" spans="1:3" x14ac:dyDescent="0.25">
      <c r="A6" s="21" t="s">
        <v>255</v>
      </c>
      <c r="B6" s="22">
        <f>BS!C33-BS!E33</f>
        <v>-4714</v>
      </c>
      <c r="C6" s="22">
        <f>BS!E33-BS!F33</f>
        <v>-57111</v>
      </c>
    </row>
    <row r="7" spans="1:3" x14ac:dyDescent="0.25">
      <c r="A7" s="21" t="s">
        <v>256</v>
      </c>
      <c r="B7" s="23"/>
      <c r="C7" s="23"/>
    </row>
    <row r="8" spans="1:3" x14ac:dyDescent="0.25">
      <c r="A8" s="24" t="s">
        <v>257</v>
      </c>
      <c r="B8" s="23"/>
      <c r="C8" s="23"/>
    </row>
    <row r="9" spans="1:3" x14ac:dyDescent="0.25">
      <c r="A9" s="25" t="s">
        <v>258</v>
      </c>
      <c r="B9" s="23">
        <f>TB!P126</f>
        <v>205</v>
      </c>
      <c r="C9" s="23">
        <f>TB!O126</f>
        <v>1605</v>
      </c>
    </row>
    <row r="10" spans="1:3" x14ac:dyDescent="0.25">
      <c r="A10" s="25" t="s">
        <v>259</v>
      </c>
      <c r="B10" s="23"/>
      <c r="C10" s="23"/>
    </row>
    <row r="11" spans="1:3" x14ac:dyDescent="0.25">
      <c r="A11" s="27" t="s">
        <v>307</v>
      </c>
      <c r="B11" s="23">
        <f>BS!E9-BS!C9</f>
        <v>-25000</v>
      </c>
      <c r="C11" s="23">
        <v>0</v>
      </c>
    </row>
    <row r="12" spans="1:3" x14ac:dyDescent="0.25">
      <c r="A12" s="27" t="s">
        <v>260</v>
      </c>
      <c r="B12" s="23">
        <f>BS!E11-BS!C11</f>
        <v>-180</v>
      </c>
      <c r="C12" s="23">
        <f>BS!F11-BS!E11</f>
        <v>-1147</v>
      </c>
    </row>
    <row r="13" spans="1:3" x14ac:dyDescent="0.25">
      <c r="A13" s="27" t="s">
        <v>229</v>
      </c>
      <c r="B13" s="23">
        <f>BS!E10-BS!C10</f>
        <v>-187</v>
      </c>
      <c r="C13" s="23">
        <f>BS!F10-BS!E10</f>
        <v>-7546</v>
      </c>
    </row>
    <row r="14" spans="1:3" x14ac:dyDescent="0.25">
      <c r="A14" s="27" t="s">
        <v>261</v>
      </c>
      <c r="B14" s="23">
        <f>BS!C20-BS!E20</f>
        <v>-917</v>
      </c>
      <c r="C14" s="23">
        <f>BS!E20-BS!F20</f>
        <v>3216</v>
      </c>
    </row>
    <row r="15" spans="1:3" x14ac:dyDescent="0.25">
      <c r="A15" s="28" t="s">
        <v>262</v>
      </c>
      <c r="B15" s="23">
        <f>BS!C22-BS!E22+BS!C28-BS!E28</f>
        <v>-20</v>
      </c>
      <c r="C15" s="23">
        <f>BS!E22-BS!F22+BS!E28-BS!F28</f>
        <v>2265</v>
      </c>
    </row>
    <row r="16" spans="1:3" x14ac:dyDescent="0.25">
      <c r="A16" s="27" t="s">
        <v>306</v>
      </c>
      <c r="B16" s="29">
        <f>BS!C25-BS!E25</f>
        <v>-24154</v>
      </c>
      <c r="C16" s="29">
        <f>BS!E25-BS!F25</f>
        <v>-3993</v>
      </c>
    </row>
    <row r="17" spans="1:3" x14ac:dyDescent="0.25">
      <c r="A17" s="21" t="s">
        <v>263</v>
      </c>
      <c r="B17" s="30">
        <f>SUM(B6:B16)</f>
        <v>-54967</v>
      </c>
      <c r="C17" s="30">
        <f>SUM(C6:C16)</f>
        <v>-62711</v>
      </c>
    </row>
    <row r="18" spans="1:3" x14ac:dyDescent="0.25">
      <c r="A18" s="24"/>
      <c r="B18" s="23"/>
      <c r="C18" s="23"/>
    </row>
    <row r="19" spans="1:3" x14ac:dyDescent="0.25">
      <c r="A19" s="31" t="s">
        <v>264</v>
      </c>
      <c r="B19" s="23"/>
      <c r="C19" s="23"/>
    </row>
    <row r="20" spans="1:3" x14ac:dyDescent="0.25">
      <c r="A20" s="21" t="s">
        <v>265</v>
      </c>
      <c r="B20" s="29">
        <f>BS!E14-BS!C14-B9</f>
        <v>-143</v>
      </c>
      <c r="C20" s="29">
        <v>-16610</v>
      </c>
    </row>
    <row r="21" spans="1:3" x14ac:dyDescent="0.25">
      <c r="A21" s="32" t="s">
        <v>274</v>
      </c>
      <c r="B21" s="30">
        <f>SUM(B20:B20)</f>
        <v>-143</v>
      </c>
      <c r="C21" s="30">
        <f>SUM(C20:C20)</f>
        <v>-16610</v>
      </c>
    </row>
    <row r="22" spans="1:3" x14ac:dyDescent="0.25">
      <c r="A22" s="33"/>
      <c r="B22" s="23"/>
      <c r="C22" s="23"/>
    </row>
    <row r="23" spans="1:3" x14ac:dyDescent="0.25">
      <c r="A23" s="31" t="s">
        <v>266</v>
      </c>
      <c r="B23" s="26"/>
      <c r="C23" s="26"/>
    </row>
    <row r="24" spans="1:3" x14ac:dyDescent="0.25">
      <c r="A24" s="21" t="s">
        <v>273</v>
      </c>
      <c r="B24" s="26">
        <f>BS!C26-BS!E26</f>
        <v>25000</v>
      </c>
      <c r="C24" s="26">
        <f>BS!E26-BS!F26</f>
        <v>40000</v>
      </c>
    </row>
    <row r="25" spans="1:3" x14ac:dyDescent="0.25">
      <c r="A25" s="21" t="s">
        <v>267</v>
      </c>
      <c r="B25" s="26">
        <v>0</v>
      </c>
      <c r="C25" s="34">
        <v>3000</v>
      </c>
    </row>
    <row r="26" spans="1:3" x14ac:dyDescent="0.25">
      <c r="A26" s="21" t="s">
        <v>268</v>
      </c>
      <c r="B26" s="26">
        <v>0</v>
      </c>
      <c r="C26" s="34">
        <v>10</v>
      </c>
    </row>
    <row r="27" spans="1:3" x14ac:dyDescent="0.25">
      <c r="A27" s="24" t="s">
        <v>269</v>
      </c>
      <c r="B27" s="26"/>
      <c r="C27" s="35"/>
    </row>
    <row r="28" spans="1:3" x14ac:dyDescent="0.25">
      <c r="A28" s="21" t="s">
        <v>270</v>
      </c>
      <c r="B28" s="36">
        <f>SUM(B24:B27)</f>
        <v>25000</v>
      </c>
      <c r="C28" s="36">
        <f>SUM(C24:C27)</f>
        <v>43010</v>
      </c>
    </row>
    <row r="29" spans="1:3" x14ac:dyDescent="0.25">
      <c r="A29" s="21"/>
      <c r="B29" s="26"/>
      <c r="C29" s="26"/>
    </row>
    <row r="30" spans="1:3" x14ac:dyDescent="0.25">
      <c r="A30" s="32" t="s">
        <v>293</v>
      </c>
      <c r="B30" s="30">
        <f>B17+B21+B28</f>
        <v>-30110</v>
      </c>
      <c r="C30" s="30">
        <f>C17+C21+C28</f>
        <v>-36311</v>
      </c>
    </row>
    <row r="31" spans="1:3" x14ac:dyDescent="0.25">
      <c r="A31" s="21" t="s">
        <v>271</v>
      </c>
      <c r="B31" s="29">
        <f>BS!E8</f>
        <v>51745</v>
      </c>
      <c r="C31" s="29">
        <f>BS!F8</f>
        <v>88056</v>
      </c>
    </row>
    <row r="32" spans="1:3" ht="15.75" thickBot="1" x14ac:dyDescent="0.3">
      <c r="A32" s="37" t="s">
        <v>272</v>
      </c>
      <c r="B32" s="38">
        <f>SUM(B30:B31)</f>
        <v>21635</v>
      </c>
      <c r="C32" s="38">
        <f>SUM(C30:C31)</f>
        <v>51745</v>
      </c>
    </row>
    <row r="33" spans="2:2" ht="15.75" thickTop="1" x14ac:dyDescent="0.25">
      <c r="B33" s="6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2"/>
  <sheetViews>
    <sheetView workbookViewId="0">
      <pane xSplit="4" ySplit="7" topLeftCell="E73" activePane="bottomRight" state="frozen"/>
      <selection pane="topRight" activeCell="E1" sqref="E1"/>
      <selection pane="bottomLeft" activeCell="A11" sqref="A11"/>
      <selection pane="bottomRight" activeCell="P192" sqref="P192"/>
    </sheetView>
  </sheetViews>
  <sheetFormatPr defaultRowHeight="15" x14ac:dyDescent="0.25"/>
  <cols>
    <col min="2" max="2" width="28.140625" customWidth="1"/>
    <col min="3" max="3" width="18.140625" hidden="1" customWidth="1"/>
    <col min="4" max="4" width="13.85546875" customWidth="1"/>
    <col min="5" max="10" width="17.5703125" customWidth="1"/>
    <col min="11" max="11" width="19.28515625" customWidth="1"/>
    <col min="12" max="12" width="14.5703125" bestFit="1" customWidth="1"/>
    <col min="13" max="13" width="1" customWidth="1"/>
    <col min="14" max="14" width="12.42578125" customWidth="1"/>
    <col min="15" max="15" width="13.28515625" customWidth="1"/>
    <col min="16" max="17" width="12.140625" customWidth="1"/>
  </cols>
  <sheetData>
    <row r="1" spans="1:17" x14ac:dyDescent="0.25">
      <c r="A1" t="s">
        <v>0</v>
      </c>
    </row>
    <row r="2" spans="1:17" x14ac:dyDescent="0.25">
      <c r="A2" t="s">
        <v>225</v>
      </c>
    </row>
    <row r="3" spans="1:17" x14ac:dyDescent="0.25">
      <c r="A3" t="s">
        <v>226</v>
      </c>
    </row>
    <row r="5" spans="1:17" x14ac:dyDescent="0.25">
      <c r="K5" s="3" t="s">
        <v>216</v>
      </c>
      <c r="L5" s="3"/>
      <c r="M5" s="3"/>
      <c r="N5" s="5">
        <f>SUM(N8:N223)</f>
        <v>0</v>
      </c>
      <c r="O5" s="5">
        <f t="shared" ref="O5:P5" si="0">SUM(O8:O232)</f>
        <v>0</v>
      </c>
      <c r="P5" s="5">
        <f t="shared" si="0"/>
        <v>0</v>
      </c>
      <c r="Q5" s="5">
        <f>SUM(Q8:Q232)</f>
        <v>0</v>
      </c>
    </row>
    <row r="6" spans="1:17" x14ac:dyDescent="0.25">
      <c r="A6" t="s">
        <v>1</v>
      </c>
      <c r="B6" t="s">
        <v>2</v>
      </c>
      <c r="C6" t="s">
        <v>3</v>
      </c>
      <c r="D6" s="1">
        <v>41274</v>
      </c>
      <c r="E6" s="3" t="s">
        <v>220</v>
      </c>
      <c r="F6" s="3" t="s">
        <v>304</v>
      </c>
      <c r="G6" s="3" t="s">
        <v>221</v>
      </c>
      <c r="H6" s="3" t="s">
        <v>222</v>
      </c>
      <c r="I6" s="3" t="s">
        <v>246</v>
      </c>
      <c r="J6" s="3" t="s">
        <v>247</v>
      </c>
      <c r="K6" s="3" t="s">
        <v>217</v>
      </c>
      <c r="L6" s="3" t="s">
        <v>218</v>
      </c>
      <c r="M6" s="3"/>
      <c r="N6" s="3" t="s">
        <v>219</v>
      </c>
      <c r="O6" s="3" t="s">
        <v>224</v>
      </c>
      <c r="P6" t="s">
        <v>292</v>
      </c>
      <c r="Q6" s="20" t="s">
        <v>248</v>
      </c>
    </row>
    <row r="7" spans="1:17" x14ac:dyDescent="0.25">
      <c r="A7" t="s">
        <v>4</v>
      </c>
      <c r="B7" t="s">
        <v>5</v>
      </c>
      <c r="C7" t="s">
        <v>6</v>
      </c>
      <c r="D7" s="2" t="s">
        <v>215</v>
      </c>
    </row>
    <row r="8" spans="1:17" x14ac:dyDescent="0.25">
      <c r="A8">
        <v>1011</v>
      </c>
      <c r="B8" t="s">
        <v>7</v>
      </c>
      <c r="C8">
        <v>2076.11</v>
      </c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>
        <f t="shared" ref="N8:N39" si="1">SUM(E8:M8)</f>
        <v>0</v>
      </c>
      <c r="O8" s="4">
        <f t="shared" ref="O8:O39" si="2">D8+N8</f>
        <v>2</v>
      </c>
      <c r="P8">
        <v>2</v>
      </c>
      <c r="Q8">
        <v>2</v>
      </c>
    </row>
    <row r="9" spans="1:17" x14ac:dyDescent="0.25">
      <c r="A9">
        <v>1025</v>
      </c>
      <c r="B9" t="s">
        <v>8</v>
      </c>
      <c r="C9">
        <v>5420970.0700000003</v>
      </c>
      <c r="D9" s="4">
        <v>5421</v>
      </c>
      <c r="E9" s="4"/>
      <c r="F9" s="4"/>
      <c r="G9" s="4"/>
      <c r="H9" s="4"/>
      <c r="I9" s="4"/>
      <c r="J9" s="4"/>
      <c r="K9" s="4"/>
      <c r="L9" s="4"/>
      <c r="M9" s="4"/>
      <c r="N9" s="4">
        <f t="shared" si="1"/>
        <v>0</v>
      </c>
      <c r="O9" s="4">
        <f t="shared" si="2"/>
        <v>5421</v>
      </c>
      <c r="P9">
        <v>24461</v>
      </c>
      <c r="Q9">
        <v>4081</v>
      </c>
    </row>
    <row r="10" spans="1:17" x14ac:dyDescent="0.25">
      <c r="A10">
        <v>1040</v>
      </c>
      <c r="B10" t="s">
        <v>9</v>
      </c>
      <c r="C10">
        <v>163849.98000000001</v>
      </c>
      <c r="D10" s="4">
        <v>164</v>
      </c>
      <c r="E10" s="4"/>
      <c r="F10" s="4"/>
      <c r="G10" s="4"/>
      <c r="H10" s="4"/>
      <c r="I10" s="4"/>
      <c r="J10" s="4"/>
      <c r="K10" s="4"/>
      <c r="L10" s="4"/>
      <c r="M10" s="4"/>
      <c r="N10" s="4">
        <f t="shared" si="1"/>
        <v>0</v>
      </c>
      <c r="O10" s="4">
        <f t="shared" si="2"/>
        <v>164</v>
      </c>
      <c r="P10">
        <v>164</v>
      </c>
      <c r="Q10">
        <v>44</v>
      </c>
    </row>
    <row r="11" spans="1:17" x14ac:dyDescent="0.25">
      <c r="A11">
        <v>1045</v>
      </c>
      <c r="B11" t="s">
        <v>10</v>
      </c>
      <c r="C11">
        <v>10501989.960000001</v>
      </c>
      <c r="D11" s="4">
        <v>10502</v>
      </c>
      <c r="E11" s="4"/>
      <c r="F11" s="4"/>
      <c r="G11" s="4"/>
      <c r="H11" s="4"/>
      <c r="I11" s="4"/>
      <c r="J11" s="4"/>
      <c r="K11" s="4"/>
      <c r="L11" s="4"/>
      <c r="M11" s="4"/>
      <c r="N11" s="4">
        <f t="shared" si="1"/>
        <v>0</v>
      </c>
      <c r="O11" s="4">
        <f t="shared" si="2"/>
        <v>10502</v>
      </c>
      <c r="P11">
        <v>10502</v>
      </c>
      <c r="Q11">
        <v>21458</v>
      </c>
    </row>
    <row r="12" spans="1:17" x14ac:dyDescent="0.25">
      <c r="A12">
        <v>1050</v>
      </c>
      <c r="B12" t="s">
        <v>11</v>
      </c>
      <c r="C12">
        <v>2463.62</v>
      </c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>
        <f t="shared" si="1"/>
        <v>0</v>
      </c>
      <c r="O12" s="4">
        <f t="shared" si="2"/>
        <v>2</v>
      </c>
      <c r="P12">
        <v>6</v>
      </c>
      <c r="Q12">
        <v>0</v>
      </c>
    </row>
    <row r="13" spans="1:17" x14ac:dyDescent="0.25">
      <c r="A13">
        <v>1070</v>
      </c>
      <c r="B13" t="s">
        <v>12</v>
      </c>
      <c r="C13">
        <v>6460742.8399999999</v>
      </c>
      <c r="D13" s="4">
        <v>6461</v>
      </c>
      <c r="E13" s="4"/>
      <c r="F13" s="4"/>
      <c r="G13" s="4"/>
      <c r="H13" s="4"/>
      <c r="I13" s="4"/>
      <c r="J13" s="4"/>
      <c r="K13" s="4"/>
      <c r="L13" s="4"/>
      <c r="M13" s="4"/>
      <c r="N13" s="4">
        <f t="shared" si="1"/>
        <v>0</v>
      </c>
      <c r="O13" s="4">
        <f t="shared" si="2"/>
        <v>6461</v>
      </c>
      <c r="P13">
        <v>6461</v>
      </c>
      <c r="Q13">
        <v>19488</v>
      </c>
    </row>
    <row r="14" spans="1:17" x14ac:dyDescent="0.25">
      <c r="A14">
        <v>1071</v>
      </c>
      <c r="B14" t="s">
        <v>13</v>
      </c>
      <c r="C14">
        <v>27977900</v>
      </c>
      <c r="D14" s="4">
        <v>27978</v>
      </c>
      <c r="E14" s="4"/>
      <c r="F14" s="4"/>
      <c r="G14" s="4"/>
      <c r="H14" s="4"/>
      <c r="I14" s="4"/>
      <c r="J14" s="4"/>
      <c r="K14" s="4"/>
      <c r="L14" s="4"/>
      <c r="M14" s="4"/>
      <c r="N14" s="4">
        <f t="shared" si="1"/>
        <v>0</v>
      </c>
      <c r="O14" s="4">
        <f t="shared" si="2"/>
        <v>27978</v>
      </c>
      <c r="P14">
        <v>27978</v>
      </c>
      <c r="Q14">
        <v>42983</v>
      </c>
    </row>
    <row r="15" spans="1:17" x14ac:dyDescent="0.25">
      <c r="A15">
        <v>1110</v>
      </c>
      <c r="B15" t="s">
        <v>14</v>
      </c>
      <c r="C15">
        <v>25000000</v>
      </c>
      <c r="D15" s="4">
        <v>25000</v>
      </c>
      <c r="E15" s="4"/>
      <c r="F15" s="4"/>
      <c r="G15" s="4"/>
      <c r="H15" s="4"/>
      <c r="I15" s="4"/>
      <c r="J15" s="4"/>
      <c r="K15" s="4"/>
      <c r="L15" s="4"/>
      <c r="M15" s="4"/>
      <c r="N15" s="4">
        <f t="shared" si="1"/>
        <v>0</v>
      </c>
      <c r="O15" s="4">
        <f t="shared" si="2"/>
        <v>25000</v>
      </c>
      <c r="P15">
        <v>25000</v>
      </c>
      <c r="Q15">
        <v>0</v>
      </c>
    </row>
    <row r="16" spans="1:17" x14ac:dyDescent="0.25">
      <c r="A16">
        <v>1170</v>
      </c>
      <c r="B16" t="s">
        <v>15</v>
      </c>
      <c r="C16">
        <v>2181.71</v>
      </c>
      <c r="D16" s="4">
        <v>0</v>
      </c>
      <c r="E16" s="4"/>
      <c r="F16" s="4"/>
      <c r="G16" s="4"/>
      <c r="H16" s="4"/>
      <c r="I16" s="4"/>
      <c r="J16" s="4"/>
      <c r="K16" s="4"/>
      <c r="L16" s="4"/>
      <c r="M16" s="4"/>
      <c r="N16" s="4">
        <f t="shared" si="1"/>
        <v>0</v>
      </c>
      <c r="O16" s="4">
        <f t="shared" si="2"/>
        <v>0</v>
      </c>
      <c r="P16">
        <v>0</v>
      </c>
    </row>
    <row r="17" spans="1:21" x14ac:dyDescent="0.25">
      <c r="A17">
        <v>1205</v>
      </c>
      <c r="B17" t="s">
        <v>223</v>
      </c>
      <c r="C17" s="6"/>
      <c r="E17" s="6"/>
      <c r="F17" s="6"/>
      <c r="L17" s="5">
        <f>-SUM(L141:L223)</f>
        <v>7546</v>
      </c>
      <c r="N17" s="4">
        <f t="shared" si="1"/>
        <v>7546</v>
      </c>
      <c r="O17" s="4">
        <f t="shared" si="2"/>
        <v>7546</v>
      </c>
      <c r="P17">
        <v>7733</v>
      </c>
      <c r="U17" s="4"/>
    </row>
    <row r="18" spans="1:21" x14ac:dyDescent="0.25">
      <c r="A18">
        <v>1210</v>
      </c>
      <c r="B18" t="s">
        <v>16</v>
      </c>
      <c r="C18">
        <v>-32708.6</v>
      </c>
      <c r="D18" s="4">
        <v>-33</v>
      </c>
      <c r="E18" s="4"/>
      <c r="F18" s="4"/>
      <c r="G18" s="4"/>
      <c r="H18" s="4"/>
      <c r="I18" s="4"/>
      <c r="J18" s="4"/>
      <c r="K18" s="4">
        <f>-D18</f>
        <v>33</v>
      </c>
      <c r="L18" s="4"/>
      <c r="M18" s="4"/>
      <c r="N18" s="4">
        <f t="shared" si="1"/>
        <v>33</v>
      </c>
      <c r="O18" s="4">
        <f t="shared" si="2"/>
        <v>0</v>
      </c>
      <c r="P18">
        <v>0</v>
      </c>
      <c r="Q18">
        <v>0</v>
      </c>
    </row>
    <row r="19" spans="1:21" x14ac:dyDescent="0.25">
      <c r="A19">
        <v>1215</v>
      </c>
      <c r="B19" t="s">
        <v>17</v>
      </c>
      <c r="C19">
        <v>105102.37</v>
      </c>
      <c r="D19" s="4">
        <v>105</v>
      </c>
      <c r="E19" s="4"/>
      <c r="F19" s="4"/>
      <c r="G19" s="4"/>
      <c r="H19" s="4"/>
      <c r="I19" s="4"/>
      <c r="J19" s="4"/>
      <c r="K19" s="4">
        <f>-D19</f>
        <v>-105</v>
      </c>
      <c r="L19" s="4"/>
      <c r="M19" s="4"/>
      <c r="N19" s="4">
        <f t="shared" si="1"/>
        <v>-105</v>
      </c>
      <c r="O19" s="4">
        <f t="shared" si="2"/>
        <v>0</v>
      </c>
      <c r="P19">
        <v>0</v>
      </c>
    </row>
    <row r="20" spans="1:21" x14ac:dyDescent="0.25">
      <c r="A20">
        <v>1230</v>
      </c>
      <c r="B20" t="s">
        <v>18</v>
      </c>
      <c r="C20">
        <v>-10190.77</v>
      </c>
      <c r="D20" s="4">
        <v>-10</v>
      </c>
      <c r="E20" s="4"/>
      <c r="F20" s="4"/>
      <c r="G20" s="4"/>
      <c r="H20" s="4"/>
      <c r="I20" s="4"/>
      <c r="J20" s="4"/>
      <c r="K20" s="4">
        <f>-D20</f>
        <v>10</v>
      </c>
      <c r="L20" s="4"/>
      <c r="M20" s="4"/>
      <c r="N20" s="4">
        <f t="shared" si="1"/>
        <v>10</v>
      </c>
      <c r="O20" s="4">
        <f t="shared" si="2"/>
        <v>0</v>
      </c>
      <c r="P20">
        <v>0</v>
      </c>
    </row>
    <row r="21" spans="1:21" x14ac:dyDescent="0.25">
      <c r="A21">
        <v>1240</v>
      </c>
      <c r="B21" t="s">
        <v>19</v>
      </c>
      <c r="C21">
        <v>32257.15</v>
      </c>
      <c r="D21" s="4">
        <v>32</v>
      </c>
      <c r="E21" s="4"/>
      <c r="F21" s="4"/>
      <c r="G21" s="4"/>
      <c r="H21" s="4"/>
      <c r="I21" s="4"/>
      <c r="J21" s="4"/>
      <c r="K21" s="4">
        <f>-D21</f>
        <v>-32</v>
      </c>
      <c r="L21" s="4"/>
      <c r="M21" s="4"/>
      <c r="N21" s="4">
        <f t="shared" si="1"/>
        <v>-32</v>
      </c>
      <c r="O21" s="4">
        <f t="shared" si="2"/>
        <v>0</v>
      </c>
      <c r="P21">
        <v>0</v>
      </c>
    </row>
    <row r="22" spans="1:21" x14ac:dyDescent="0.25">
      <c r="A22">
        <v>1260</v>
      </c>
      <c r="B22" t="s">
        <v>20</v>
      </c>
      <c r="C22">
        <v>-186.68</v>
      </c>
      <c r="D22" s="4">
        <v>0</v>
      </c>
      <c r="E22" s="4"/>
      <c r="F22" s="4"/>
      <c r="G22" s="4"/>
      <c r="H22" s="4"/>
      <c r="I22" s="4"/>
      <c r="J22" s="4"/>
      <c r="K22" s="4">
        <f>-D22</f>
        <v>0</v>
      </c>
      <c r="L22" s="4"/>
      <c r="M22" s="4"/>
      <c r="N22" s="4">
        <f t="shared" si="1"/>
        <v>0</v>
      </c>
      <c r="O22" s="4">
        <f t="shared" si="2"/>
        <v>0</v>
      </c>
      <c r="P22">
        <v>0</v>
      </c>
    </row>
    <row r="23" spans="1:21" x14ac:dyDescent="0.25">
      <c r="A23">
        <v>1310</v>
      </c>
      <c r="B23" t="s">
        <v>21</v>
      </c>
      <c r="C23">
        <v>671559.95</v>
      </c>
      <c r="D23" s="4">
        <f>672-5</f>
        <v>667</v>
      </c>
      <c r="E23" s="4"/>
      <c r="F23" s="4"/>
      <c r="G23" s="4"/>
      <c r="H23" s="4"/>
      <c r="I23" s="4"/>
      <c r="J23" s="4"/>
      <c r="K23" s="4"/>
      <c r="L23" s="4"/>
      <c r="M23" s="4"/>
      <c r="N23" s="4">
        <f t="shared" si="1"/>
        <v>0</v>
      </c>
      <c r="O23" s="4">
        <f t="shared" si="2"/>
        <v>667</v>
      </c>
      <c r="P23">
        <v>857</v>
      </c>
      <c r="Q23">
        <v>20</v>
      </c>
    </row>
    <row r="24" spans="1:21" x14ac:dyDescent="0.25">
      <c r="A24">
        <v>1311</v>
      </c>
      <c r="B24" t="s">
        <v>22</v>
      </c>
      <c r="C24">
        <v>32079.65</v>
      </c>
      <c r="D24" s="4">
        <v>32</v>
      </c>
      <c r="E24" s="4"/>
      <c r="F24" s="4"/>
      <c r="G24" s="4"/>
      <c r="H24" s="4"/>
      <c r="I24" s="4"/>
      <c r="J24" s="4"/>
      <c r="K24" s="4"/>
      <c r="L24" s="4"/>
      <c r="M24" s="4"/>
      <c r="N24" s="4">
        <f t="shared" si="1"/>
        <v>0</v>
      </c>
      <c r="O24" s="4">
        <f t="shared" si="2"/>
        <v>32</v>
      </c>
      <c r="P24">
        <v>-12</v>
      </c>
      <c r="Q24">
        <v>110</v>
      </c>
    </row>
    <row r="25" spans="1:21" x14ac:dyDescent="0.25">
      <c r="A25">
        <v>1312</v>
      </c>
      <c r="B25" t="s">
        <v>23</v>
      </c>
      <c r="C25">
        <v>267574.45</v>
      </c>
      <c r="D25" s="4">
        <v>268</v>
      </c>
      <c r="E25" s="4"/>
      <c r="F25" s="4"/>
      <c r="G25" s="4"/>
      <c r="H25" s="4"/>
      <c r="I25" s="4"/>
      <c r="J25" s="4"/>
      <c r="K25" s="4"/>
      <c r="L25" s="4"/>
      <c r="M25" s="4"/>
      <c r="N25" s="4">
        <f t="shared" si="1"/>
        <v>0</v>
      </c>
      <c r="O25" s="4">
        <f t="shared" si="2"/>
        <v>268</v>
      </c>
      <c r="P25">
        <v>268</v>
      </c>
      <c r="Q25">
        <v>132</v>
      </c>
    </row>
    <row r="26" spans="1:21" x14ac:dyDescent="0.25">
      <c r="A26">
        <v>1313</v>
      </c>
      <c r="B26" t="s">
        <v>24</v>
      </c>
      <c r="C26">
        <v>37481.040000000001</v>
      </c>
      <c r="D26" s="4">
        <v>37</v>
      </c>
      <c r="E26" s="4"/>
      <c r="F26" s="4"/>
      <c r="G26" s="4"/>
      <c r="H26" s="4"/>
      <c r="I26" s="4"/>
      <c r="J26" s="4"/>
      <c r="K26" s="4"/>
      <c r="L26" s="4"/>
      <c r="M26" s="4"/>
      <c r="N26" s="4">
        <f t="shared" si="1"/>
        <v>0</v>
      </c>
      <c r="O26" s="4">
        <f t="shared" si="2"/>
        <v>37</v>
      </c>
      <c r="P26">
        <v>31</v>
      </c>
      <c r="Q26">
        <v>22</v>
      </c>
    </row>
    <row r="27" spans="1:21" x14ac:dyDescent="0.25">
      <c r="A27">
        <v>1314</v>
      </c>
      <c r="B27" t="s">
        <v>25</v>
      </c>
      <c r="C27">
        <v>608994.28</v>
      </c>
      <c r="D27" s="4">
        <v>609</v>
      </c>
      <c r="E27" s="4"/>
      <c r="F27" s="4"/>
      <c r="G27" s="4"/>
      <c r="H27" s="4"/>
      <c r="I27" s="4"/>
      <c r="J27" s="4"/>
      <c r="K27" s="4"/>
      <c r="L27" s="4"/>
      <c r="M27" s="4"/>
      <c r="N27" s="4">
        <f t="shared" si="1"/>
        <v>0</v>
      </c>
      <c r="O27" s="4">
        <f t="shared" si="2"/>
        <v>609</v>
      </c>
      <c r="P27">
        <v>640</v>
      </c>
      <c r="Q27">
        <v>172</v>
      </c>
    </row>
    <row r="28" spans="1:21" x14ac:dyDescent="0.25">
      <c r="A28">
        <v>1410</v>
      </c>
      <c r="B28" t="s">
        <v>26</v>
      </c>
      <c r="C28">
        <v>13402.3</v>
      </c>
      <c r="D28" s="4">
        <v>13</v>
      </c>
      <c r="E28" s="4"/>
      <c r="F28" s="4"/>
      <c r="G28" s="4"/>
      <c r="H28" s="4"/>
      <c r="I28" s="4"/>
      <c r="J28" s="4"/>
      <c r="K28" s="4"/>
      <c r="L28" s="4"/>
      <c r="M28" s="4"/>
      <c r="N28" s="4">
        <f t="shared" si="1"/>
        <v>0</v>
      </c>
      <c r="O28" s="4">
        <f t="shared" si="2"/>
        <v>13</v>
      </c>
      <c r="P28">
        <v>13</v>
      </c>
      <c r="Q28">
        <v>20</v>
      </c>
    </row>
    <row r="29" spans="1:21" x14ac:dyDescent="0.25">
      <c r="A29">
        <v>1415</v>
      </c>
      <c r="B29" t="s">
        <v>27</v>
      </c>
      <c r="C29">
        <v>38490.230000000003</v>
      </c>
      <c r="D29" s="4">
        <v>38</v>
      </c>
      <c r="E29" s="4"/>
      <c r="F29" s="4"/>
      <c r="G29" s="4"/>
      <c r="H29" s="4"/>
      <c r="I29" s="4"/>
      <c r="J29" s="4"/>
      <c r="K29" s="4"/>
      <c r="L29" s="4"/>
      <c r="M29" s="4"/>
      <c r="N29" s="4">
        <f t="shared" si="1"/>
        <v>0</v>
      </c>
      <c r="O29" s="4">
        <f t="shared" si="2"/>
        <v>38</v>
      </c>
      <c r="P29">
        <v>26</v>
      </c>
      <c r="Q29">
        <v>23</v>
      </c>
    </row>
    <row r="30" spans="1:21" x14ac:dyDescent="0.25">
      <c r="A30">
        <v>1416</v>
      </c>
      <c r="B30" t="s">
        <v>28</v>
      </c>
      <c r="C30">
        <v>1311.75</v>
      </c>
      <c r="D30" s="4">
        <v>1</v>
      </c>
      <c r="E30" s="4"/>
      <c r="F30" s="4"/>
      <c r="G30" s="4"/>
      <c r="H30" s="4"/>
      <c r="I30" s="4"/>
      <c r="J30" s="4"/>
      <c r="K30" s="4"/>
      <c r="L30" s="4"/>
      <c r="M30" s="4"/>
      <c r="N30" s="4">
        <f t="shared" si="1"/>
        <v>0</v>
      </c>
      <c r="O30" s="4">
        <f t="shared" si="2"/>
        <v>1</v>
      </c>
      <c r="P30">
        <v>1</v>
      </c>
      <c r="Q30">
        <v>1</v>
      </c>
    </row>
    <row r="31" spans="1:21" x14ac:dyDescent="0.25">
      <c r="A31">
        <v>1422</v>
      </c>
      <c r="B31" t="s">
        <v>29</v>
      </c>
      <c r="C31">
        <v>9625.51</v>
      </c>
      <c r="D31" s="4">
        <v>10</v>
      </c>
      <c r="E31" s="4"/>
      <c r="F31" s="4"/>
      <c r="G31" s="4"/>
      <c r="H31" s="4"/>
      <c r="I31" s="4"/>
      <c r="J31" s="4"/>
      <c r="K31" s="4"/>
      <c r="L31" s="4"/>
      <c r="M31" s="4"/>
      <c r="N31" s="4">
        <f t="shared" si="1"/>
        <v>0</v>
      </c>
      <c r="O31" s="4">
        <f t="shared" si="2"/>
        <v>10</v>
      </c>
      <c r="P31">
        <v>10</v>
      </c>
      <c r="Q31">
        <v>0</v>
      </c>
    </row>
    <row r="32" spans="1:21" x14ac:dyDescent="0.25">
      <c r="A32">
        <v>1520</v>
      </c>
      <c r="B32" t="s">
        <v>30</v>
      </c>
      <c r="C32">
        <v>58472.25</v>
      </c>
      <c r="D32" s="4">
        <v>58</v>
      </c>
      <c r="E32" s="4"/>
      <c r="F32" s="4"/>
      <c r="G32" s="4"/>
      <c r="H32" s="4"/>
      <c r="I32" s="4"/>
      <c r="J32" s="4"/>
      <c r="K32" s="4"/>
      <c r="L32" s="4"/>
      <c r="M32" s="4"/>
      <c r="N32" s="4">
        <f t="shared" si="1"/>
        <v>0</v>
      </c>
      <c r="O32" s="4">
        <f t="shared" si="2"/>
        <v>58</v>
      </c>
      <c r="P32">
        <v>79</v>
      </c>
      <c r="Q32">
        <v>54</v>
      </c>
    </row>
    <row r="33" spans="1:17" x14ac:dyDescent="0.25">
      <c r="A33">
        <v>1526</v>
      </c>
      <c r="B33" t="s">
        <v>31</v>
      </c>
      <c r="C33">
        <v>70989.69</v>
      </c>
      <c r="D33" s="4">
        <v>71</v>
      </c>
      <c r="E33" s="4"/>
      <c r="F33" s="4"/>
      <c r="G33" s="4"/>
      <c r="H33" s="4"/>
      <c r="I33" s="4"/>
      <c r="J33" s="4"/>
      <c r="K33" s="4"/>
      <c r="L33" s="4"/>
      <c r="M33" s="4"/>
      <c r="N33" s="4">
        <f t="shared" si="1"/>
        <v>0</v>
      </c>
      <c r="O33" s="4">
        <f t="shared" si="2"/>
        <v>71</v>
      </c>
      <c r="P33">
        <v>71</v>
      </c>
      <c r="Q33">
        <v>63</v>
      </c>
    </row>
    <row r="34" spans="1:17" x14ac:dyDescent="0.25">
      <c r="A34">
        <v>1535</v>
      </c>
      <c r="B34" t="s">
        <v>32</v>
      </c>
      <c r="C34">
        <v>48793.57</v>
      </c>
      <c r="D34" s="4">
        <v>49</v>
      </c>
      <c r="E34" s="4"/>
      <c r="F34" s="4"/>
      <c r="G34" s="4"/>
      <c r="H34" s="4"/>
      <c r="I34" s="4">
        <v>-44</v>
      </c>
      <c r="J34" s="4"/>
      <c r="K34" s="4"/>
      <c r="L34" s="4"/>
      <c r="M34" s="4"/>
      <c r="N34" s="4">
        <f t="shared" si="1"/>
        <v>-44</v>
      </c>
      <c r="O34" s="4">
        <f t="shared" si="2"/>
        <v>5</v>
      </c>
      <c r="P34">
        <v>5</v>
      </c>
      <c r="Q34">
        <v>49</v>
      </c>
    </row>
    <row r="35" spans="1:17" x14ac:dyDescent="0.25">
      <c r="A35">
        <v>1610</v>
      </c>
      <c r="B35" t="s">
        <v>33</v>
      </c>
      <c r="C35">
        <v>5938206.5599999996</v>
      </c>
      <c r="D35" s="4">
        <v>5938</v>
      </c>
      <c r="E35" s="4"/>
      <c r="F35" s="4"/>
      <c r="G35" s="4"/>
      <c r="H35" s="4"/>
      <c r="I35" s="4"/>
      <c r="J35" s="4"/>
      <c r="K35" s="4"/>
      <c r="L35" s="4"/>
      <c r="M35" s="4"/>
      <c r="N35" s="4">
        <f t="shared" si="1"/>
        <v>0</v>
      </c>
      <c r="O35" s="4">
        <f t="shared" si="2"/>
        <v>5938</v>
      </c>
      <c r="P35">
        <v>5981</v>
      </c>
      <c r="Q35">
        <v>3299</v>
      </c>
    </row>
    <row r="36" spans="1:17" x14ac:dyDescent="0.25">
      <c r="A36">
        <v>1611</v>
      </c>
      <c r="B36" t="s">
        <v>34</v>
      </c>
      <c r="C36">
        <v>9345395.5800000001</v>
      </c>
      <c r="D36" s="4">
        <v>9345</v>
      </c>
      <c r="E36" s="4"/>
      <c r="F36" s="4"/>
      <c r="G36" s="4"/>
      <c r="H36" s="4"/>
      <c r="I36" s="4"/>
      <c r="J36" s="4"/>
      <c r="K36" s="4"/>
      <c r="L36" s="4"/>
      <c r="M36" s="4"/>
      <c r="N36" s="4">
        <f t="shared" si="1"/>
        <v>0</v>
      </c>
      <c r="O36" s="4">
        <f t="shared" si="2"/>
        <v>9345</v>
      </c>
      <c r="P36">
        <v>9356</v>
      </c>
      <c r="Q36">
        <v>1005</v>
      </c>
    </row>
    <row r="37" spans="1:17" x14ac:dyDescent="0.25">
      <c r="A37">
        <v>1612</v>
      </c>
      <c r="B37" t="s">
        <v>35</v>
      </c>
      <c r="C37">
        <v>903192.83</v>
      </c>
      <c r="D37" s="4">
        <v>903</v>
      </c>
      <c r="E37" s="4"/>
      <c r="F37" s="4"/>
      <c r="G37" s="4"/>
      <c r="H37" s="4"/>
      <c r="I37" s="4"/>
      <c r="J37" s="4"/>
      <c r="K37" s="4"/>
      <c r="L37" s="4"/>
      <c r="M37" s="4"/>
      <c r="N37" s="4">
        <f t="shared" si="1"/>
        <v>0</v>
      </c>
      <c r="O37" s="4">
        <f t="shared" si="2"/>
        <v>903</v>
      </c>
      <c r="P37">
        <v>903</v>
      </c>
      <c r="Q37">
        <v>409</v>
      </c>
    </row>
    <row r="38" spans="1:17" x14ac:dyDescent="0.25">
      <c r="A38">
        <v>1615</v>
      </c>
      <c r="B38" t="s">
        <v>36</v>
      </c>
      <c r="C38">
        <v>141236.96</v>
      </c>
      <c r="D38" s="4">
        <v>141</v>
      </c>
      <c r="E38" s="4"/>
      <c r="F38" s="4"/>
      <c r="G38" s="4"/>
      <c r="H38" s="4"/>
      <c r="I38" s="4"/>
      <c r="J38" s="4"/>
      <c r="K38" s="4"/>
      <c r="L38" s="4"/>
      <c r="M38" s="4"/>
      <c r="N38" s="4">
        <f t="shared" si="1"/>
        <v>0</v>
      </c>
      <c r="O38" s="4">
        <f t="shared" si="2"/>
        <v>141</v>
      </c>
      <c r="P38">
        <v>141</v>
      </c>
      <c r="Q38">
        <v>112</v>
      </c>
    </row>
    <row r="39" spans="1:17" x14ac:dyDescent="0.25">
      <c r="A39">
        <v>1620</v>
      </c>
      <c r="B39" t="s">
        <v>37</v>
      </c>
      <c r="C39">
        <v>401920.99</v>
      </c>
      <c r="D39" s="4">
        <v>402</v>
      </c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  <c r="O39" s="4">
        <f t="shared" si="2"/>
        <v>402</v>
      </c>
      <c r="P39">
        <v>405</v>
      </c>
      <c r="Q39">
        <v>179</v>
      </c>
    </row>
    <row r="40" spans="1:17" x14ac:dyDescent="0.25">
      <c r="A40">
        <v>1625</v>
      </c>
      <c r="B40" t="s">
        <v>38</v>
      </c>
      <c r="C40">
        <v>1285910.25</v>
      </c>
      <c r="D40" s="4">
        <v>1286</v>
      </c>
      <c r="E40" s="4"/>
      <c r="F40" s="4"/>
      <c r="G40" s="4"/>
      <c r="H40" s="4"/>
      <c r="I40" s="4"/>
      <c r="J40" s="4"/>
      <c r="K40" s="4"/>
      <c r="L40" s="4"/>
      <c r="M40" s="4"/>
      <c r="N40" s="4">
        <f t="shared" ref="N40:N71" si="3">SUM(E40:M40)</f>
        <v>0</v>
      </c>
      <c r="O40" s="4">
        <f t="shared" ref="O40:O71" si="4">D40+N40</f>
        <v>1286</v>
      </c>
      <c r="P40">
        <v>1286</v>
      </c>
      <c r="Q40">
        <v>776</v>
      </c>
    </row>
    <row r="41" spans="1:17" x14ac:dyDescent="0.25">
      <c r="A41">
        <v>1630</v>
      </c>
      <c r="B41" t="s">
        <v>39</v>
      </c>
      <c r="C41">
        <v>474772.97</v>
      </c>
      <c r="D41" s="4">
        <v>475</v>
      </c>
      <c r="E41" s="4"/>
      <c r="F41" s="4"/>
      <c r="G41" s="4"/>
      <c r="H41" s="4"/>
      <c r="I41" s="4"/>
      <c r="J41" s="4"/>
      <c r="K41" s="4"/>
      <c r="L41" s="4"/>
      <c r="M41" s="4"/>
      <c r="N41" s="4">
        <f t="shared" si="3"/>
        <v>0</v>
      </c>
      <c r="O41" s="4">
        <f t="shared" si="4"/>
        <v>475</v>
      </c>
      <c r="P41">
        <v>475</v>
      </c>
      <c r="Q41">
        <v>252</v>
      </c>
    </row>
    <row r="42" spans="1:17" x14ac:dyDescent="0.25">
      <c r="A42">
        <v>1635</v>
      </c>
      <c r="B42" t="s">
        <v>40</v>
      </c>
      <c r="C42">
        <v>2233584.9</v>
      </c>
      <c r="D42" s="4">
        <v>2234</v>
      </c>
      <c r="E42" s="4"/>
      <c r="F42" s="4"/>
      <c r="G42" s="4"/>
      <c r="H42" s="4"/>
      <c r="I42" s="4"/>
      <c r="J42" s="4"/>
      <c r="K42" s="4"/>
      <c r="L42" s="4"/>
      <c r="M42" s="4"/>
      <c r="N42" s="4">
        <f t="shared" si="3"/>
        <v>0</v>
      </c>
      <c r="O42" s="4">
        <f t="shared" si="4"/>
        <v>2234</v>
      </c>
      <c r="P42">
        <v>2234</v>
      </c>
      <c r="Q42">
        <v>1745</v>
      </c>
    </row>
    <row r="43" spans="1:17" x14ac:dyDescent="0.25">
      <c r="A43">
        <v>1640</v>
      </c>
      <c r="B43" t="s">
        <v>41</v>
      </c>
      <c r="C43">
        <v>22000</v>
      </c>
      <c r="D43" s="4">
        <v>22</v>
      </c>
      <c r="E43" s="4"/>
      <c r="F43" s="4"/>
      <c r="G43" s="4"/>
      <c r="H43" s="4"/>
      <c r="I43" s="4"/>
      <c r="J43" s="4"/>
      <c r="K43" s="4"/>
      <c r="L43" s="4"/>
      <c r="M43" s="4"/>
      <c r="N43" s="4">
        <f t="shared" si="3"/>
        <v>0</v>
      </c>
      <c r="O43" s="4">
        <f t="shared" si="4"/>
        <v>22</v>
      </c>
      <c r="P43">
        <v>22</v>
      </c>
    </row>
    <row r="44" spans="1:17" x14ac:dyDescent="0.25">
      <c r="A44">
        <v>1680</v>
      </c>
      <c r="B44" t="s">
        <v>42</v>
      </c>
      <c r="C44">
        <v>650165.16</v>
      </c>
      <c r="D44" s="4">
        <v>650</v>
      </c>
      <c r="E44" s="4"/>
      <c r="F44" s="4"/>
      <c r="G44" s="4"/>
      <c r="H44" s="4"/>
      <c r="I44" s="4"/>
      <c r="J44" s="4"/>
      <c r="K44" s="4"/>
      <c r="L44" s="4"/>
      <c r="M44" s="4"/>
      <c r="N44" s="4">
        <f t="shared" si="3"/>
        <v>0</v>
      </c>
      <c r="O44" s="4">
        <f t="shared" si="4"/>
        <v>650</v>
      </c>
      <c r="P44">
        <v>650</v>
      </c>
      <c r="Q44">
        <v>650</v>
      </c>
    </row>
    <row r="45" spans="1:17" x14ac:dyDescent="0.25">
      <c r="A45">
        <v>1690</v>
      </c>
      <c r="B45" t="s">
        <v>43</v>
      </c>
      <c r="C45">
        <v>48879.64</v>
      </c>
      <c r="D45" s="4">
        <v>49</v>
      </c>
      <c r="E45" s="4"/>
      <c r="F45" s="4"/>
      <c r="G45" s="4"/>
      <c r="H45" s="4"/>
      <c r="I45" s="4"/>
      <c r="J45" s="4"/>
      <c r="K45" s="4"/>
      <c r="L45" s="4"/>
      <c r="M45" s="4"/>
      <c r="N45" s="4">
        <f t="shared" si="3"/>
        <v>0</v>
      </c>
      <c r="O45" s="4">
        <f t="shared" si="4"/>
        <v>49</v>
      </c>
      <c r="P45">
        <v>52</v>
      </c>
      <c r="Q45">
        <v>260</v>
      </c>
    </row>
    <row r="46" spans="1:17" x14ac:dyDescent="0.25">
      <c r="A46">
        <v>1691</v>
      </c>
      <c r="B46" t="s">
        <v>44</v>
      </c>
      <c r="C46">
        <v>16330.64</v>
      </c>
      <c r="D46" s="4">
        <v>16</v>
      </c>
      <c r="E46" s="4"/>
      <c r="F46" s="4"/>
      <c r="G46" s="4"/>
      <c r="H46" s="4"/>
      <c r="I46" s="4"/>
      <c r="J46" s="4"/>
      <c r="K46" s="4"/>
      <c r="L46" s="4"/>
      <c r="M46" s="4"/>
      <c r="N46" s="4">
        <f t="shared" si="3"/>
        <v>0</v>
      </c>
      <c r="O46" s="4">
        <f t="shared" si="4"/>
        <v>16</v>
      </c>
      <c r="P46">
        <v>16</v>
      </c>
    </row>
    <row r="47" spans="1:17" x14ac:dyDescent="0.25">
      <c r="A47">
        <v>1694</v>
      </c>
      <c r="B47" t="s">
        <v>45</v>
      </c>
      <c r="C47">
        <v>111444.5</v>
      </c>
      <c r="D47" s="4">
        <v>111</v>
      </c>
      <c r="E47" s="4"/>
      <c r="F47" s="4"/>
      <c r="G47" s="4"/>
      <c r="H47" s="4"/>
      <c r="I47" s="4"/>
      <c r="J47" s="4"/>
      <c r="K47" s="4"/>
      <c r="L47" s="4"/>
      <c r="M47" s="4"/>
      <c r="N47" s="4">
        <f t="shared" si="3"/>
        <v>0</v>
      </c>
      <c r="O47" s="4">
        <f t="shared" si="4"/>
        <v>111</v>
      </c>
      <c r="P47">
        <v>111</v>
      </c>
    </row>
    <row r="48" spans="1:17" x14ac:dyDescent="0.25">
      <c r="A48">
        <v>1695</v>
      </c>
      <c r="B48" t="s">
        <v>46</v>
      </c>
      <c r="C48">
        <v>3709740.95</v>
      </c>
      <c r="D48" s="4">
        <v>3710</v>
      </c>
      <c r="E48" s="4"/>
      <c r="F48" s="4"/>
      <c r="G48" s="4"/>
      <c r="H48" s="4"/>
      <c r="I48" s="4"/>
      <c r="J48" s="4"/>
      <c r="K48" s="4"/>
      <c r="L48" s="4"/>
      <c r="M48" s="4"/>
      <c r="N48" s="4">
        <f t="shared" si="3"/>
        <v>0</v>
      </c>
      <c r="O48" s="4">
        <f t="shared" si="4"/>
        <v>3710</v>
      </c>
      <c r="P48">
        <v>3793</v>
      </c>
    </row>
    <row r="49" spans="1:17" x14ac:dyDescent="0.25">
      <c r="A49">
        <v>1696</v>
      </c>
      <c r="B49" t="s">
        <v>47</v>
      </c>
      <c r="C49">
        <v>14641.47</v>
      </c>
      <c r="D49" s="4">
        <v>15</v>
      </c>
      <c r="E49" s="4"/>
      <c r="F49" s="4"/>
      <c r="G49" s="4"/>
      <c r="H49" s="4"/>
      <c r="I49" s="4"/>
      <c r="J49" s="4"/>
      <c r="K49" s="4"/>
      <c r="L49" s="4"/>
      <c r="M49" s="4"/>
      <c r="N49" s="4">
        <f t="shared" si="3"/>
        <v>0</v>
      </c>
      <c r="O49" s="4">
        <f t="shared" si="4"/>
        <v>15</v>
      </c>
      <c r="P49">
        <v>15</v>
      </c>
    </row>
    <row r="50" spans="1:17" x14ac:dyDescent="0.25">
      <c r="A50">
        <v>1710</v>
      </c>
      <c r="B50" t="s">
        <v>48</v>
      </c>
      <c r="C50">
        <v>-2472808.2000000002</v>
      </c>
      <c r="D50" s="4">
        <v>-2473</v>
      </c>
      <c r="E50" s="4"/>
      <c r="F50" s="4"/>
      <c r="G50" s="4"/>
      <c r="H50" s="4"/>
      <c r="I50" s="4"/>
      <c r="J50" s="4"/>
      <c r="K50" s="4"/>
      <c r="L50" s="4"/>
      <c r="M50" s="4"/>
      <c r="N50" s="4">
        <f t="shared" si="3"/>
        <v>0</v>
      </c>
      <c r="O50" s="4">
        <f t="shared" si="4"/>
        <v>-2473</v>
      </c>
      <c r="P50">
        <f>-2473-205</f>
        <v>-2678</v>
      </c>
      <c r="Q50">
        <v>-1753</v>
      </c>
    </row>
    <row r="51" spans="1:17" x14ac:dyDescent="0.25">
      <c r="A51">
        <v>1711</v>
      </c>
      <c r="B51" t="s">
        <v>49</v>
      </c>
      <c r="C51">
        <v>-455893.92</v>
      </c>
      <c r="D51" s="4">
        <v>-456</v>
      </c>
      <c r="E51" s="4"/>
      <c r="F51" s="4"/>
      <c r="G51" s="4"/>
      <c r="H51" s="4"/>
      <c r="I51" s="4"/>
      <c r="J51" s="4"/>
      <c r="K51" s="4"/>
      <c r="L51" s="4"/>
      <c r="M51" s="4"/>
      <c r="N51" s="4">
        <f t="shared" si="3"/>
        <v>0</v>
      </c>
      <c r="O51" s="4">
        <f t="shared" si="4"/>
        <v>-456</v>
      </c>
      <c r="P51">
        <v>-456</v>
      </c>
      <c r="Q51">
        <v>-15</v>
      </c>
    </row>
    <row r="52" spans="1:17" x14ac:dyDescent="0.25">
      <c r="A52">
        <v>1712</v>
      </c>
      <c r="B52" t="s">
        <v>50</v>
      </c>
      <c r="C52">
        <v>-112616.49</v>
      </c>
      <c r="D52" s="4">
        <v>-113</v>
      </c>
      <c r="E52" s="4"/>
      <c r="F52" s="4"/>
      <c r="G52" s="4"/>
      <c r="H52" s="4"/>
      <c r="I52" s="4"/>
      <c r="J52" s="4"/>
      <c r="K52" s="4"/>
      <c r="L52" s="4"/>
      <c r="M52" s="4"/>
      <c r="N52" s="4">
        <f t="shared" si="3"/>
        <v>0</v>
      </c>
      <c r="O52" s="4">
        <f t="shared" si="4"/>
        <v>-113</v>
      </c>
      <c r="P52">
        <v>-113</v>
      </c>
      <c r="Q52">
        <v>-13</v>
      </c>
    </row>
    <row r="53" spans="1:17" x14ac:dyDescent="0.25">
      <c r="A53">
        <v>1715</v>
      </c>
      <c r="B53" t="s">
        <v>51</v>
      </c>
      <c r="C53">
        <v>-75147.570000000007</v>
      </c>
      <c r="D53" s="4">
        <v>-75</v>
      </c>
      <c r="E53" s="4"/>
      <c r="F53" s="4"/>
      <c r="G53" s="4"/>
      <c r="H53" s="4"/>
      <c r="I53" s="4"/>
      <c r="J53" s="4"/>
      <c r="K53" s="4"/>
      <c r="L53" s="4"/>
      <c r="M53" s="4"/>
      <c r="N53" s="4">
        <f t="shared" si="3"/>
        <v>0</v>
      </c>
      <c r="O53" s="4">
        <f t="shared" si="4"/>
        <v>-75</v>
      </c>
      <c r="P53">
        <v>-75</v>
      </c>
      <c r="Q53">
        <v>-48</v>
      </c>
    </row>
    <row r="54" spans="1:17" x14ac:dyDescent="0.25">
      <c r="A54">
        <v>1720</v>
      </c>
      <c r="B54" t="s">
        <v>52</v>
      </c>
      <c r="C54">
        <v>-156289.43</v>
      </c>
      <c r="D54" s="4">
        <v>-156</v>
      </c>
      <c r="E54" s="4"/>
      <c r="F54" s="4"/>
      <c r="G54" s="4"/>
      <c r="H54" s="4"/>
      <c r="I54" s="4"/>
      <c r="J54" s="4"/>
      <c r="K54" s="4"/>
      <c r="L54" s="4"/>
      <c r="M54" s="4"/>
      <c r="N54" s="4">
        <f t="shared" si="3"/>
        <v>0</v>
      </c>
      <c r="O54" s="4">
        <f t="shared" si="4"/>
        <v>-156</v>
      </c>
      <c r="P54">
        <v>-156</v>
      </c>
      <c r="Q54">
        <v>-130</v>
      </c>
    </row>
    <row r="55" spans="1:17" x14ac:dyDescent="0.25">
      <c r="A55">
        <v>1725</v>
      </c>
      <c r="B55" t="s">
        <v>53</v>
      </c>
      <c r="C55">
        <v>-748884.03</v>
      </c>
      <c r="D55" s="4">
        <v>-749</v>
      </c>
      <c r="E55" s="4"/>
      <c r="F55" s="4"/>
      <c r="G55" s="4"/>
      <c r="H55" s="4"/>
      <c r="I55" s="4"/>
      <c r="J55" s="4"/>
      <c r="K55" s="4"/>
      <c r="L55" s="4"/>
      <c r="M55" s="4"/>
      <c r="N55" s="4">
        <f t="shared" si="3"/>
        <v>0</v>
      </c>
      <c r="O55" s="4">
        <f t="shared" si="4"/>
        <v>-749</v>
      </c>
      <c r="P55">
        <v>-749</v>
      </c>
      <c r="Q55">
        <v>-683</v>
      </c>
    </row>
    <row r="56" spans="1:17" x14ac:dyDescent="0.25">
      <c r="A56">
        <v>1730</v>
      </c>
      <c r="B56" t="s">
        <v>54</v>
      </c>
      <c r="C56">
        <v>-261603.94</v>
      </c>
      <c r="D56" s="4">
        <v>-262</v>
      </c>
      <c r="E56" s="4"/>
      <c r="F56" s="4"/>
      <c r="G56" s="4"/>
      <c r="H56" s="4"/>
      <c r="I56" s="4"/>
      <c r="J56" s="4"/>
      <c r="K56" s="4"/>
      <c r="L56" s="4"/>
      <c r="M56" s="4"/>
      <c r="N56" s="4">
        <f t="shared" si="3"/>
        <v>0</v>
      </c>
      <c r="O56" s="4">
        <f t="shared" si="4"/>
        <v>-262</v>
      </c>
      <c r="P56">
        <v>-262</v>
      </c>
      <c r="Q56">
        <v>-206</v>
      </c>
    </row>
    <row r="57" spans="1:17" x14ac:dyDescent="0.25">
      <c r="A57">
        <v>1735</v>
      </c>
      <c r="B57" t="s">
        <v>55</v>
      </c>
      <c r="C57">
        <v>-882924.2</v>
      </c>
      <c r="D57" s="4">
        <v>-883</v>
      </c>
      <c r="E57" s="4"/>
      <c r="F57" s="4"/>
      <c r="G57" s="4"/>
      <c r="H57" s="4"/>
      <c r="I57" s="4"/>
      <c r="J57" s="4"/>
      <c r="K57" s="4"/>
      <c r="L57" s="4"/>
      <c r="M57" s="4"/>
      <c r="N57" s="4">
        <f t="shared" si="3"/>
        <v>0</v>
      </c>
      <c r="O57" s="4">
        <f t="shared" si="4"/>
        <v>-883</v>
      </c>
      <c r="P57">
        <v>-883</v>
      </c>
      <c r="Q57">
        <v>-713</v>
      </c>
    </row>
    <row r="58" spans="1:17" x14ac:dyDescent="0.25">
      <c r="A58">
        <v>1780</v>
      </c>
      <c r="B58" t="s">
        <v>56</v>
      </c>
      <c r="C58">
        <v>-577081.15</v>
      </c>
      <c r="D58" s="4">
        <v>-577</v>
      </c>
      <c r="E58" s="4"/>
      <c r="F58" s="4"/>
      <c r="G58" s="4"/>
      <c r="H58" s="4"/>
      <c r="I58" s="4"/>
      <c r="J58" s="4"/>
      <c r="K58" s="4"/>
      <c r="L58" s="4"/>
      <c r="M58" s="4"/>
      <c r="N58" s="4">
        <f t="shared" si="3"/>
        <v>0</v>
      </c>
      <c r="O58" s="4">
        <f t="shared" si="4"/>
        <v>-577</v>
      </c>
      <c r="P58">
        <v>-577</v>
      </c>
      <c r="Q58">
        <v>-577</v>
      </c>
    </row>
    <row r="59" spans="1:17" x14ac:dyDescent="0.25">
      <c r="A59">
        <v>1806</v>
      </c>
      <c r="B59" t="s">
        <v>57</v>
      </c>
      <c r="C59">
        <v>1214939.8</v>
      </c>
      <c r="D59" s="4">
        <v>1215</v>
      </c>
      <c r="E59" s="4"/>
      <c r="F59" s="4"/>
      <c r="G59" s="4"/>
      <c r="H59" s="4"/>
      <c r="I59" s="4"/>
      <c r="J59" s="4"/>
      <c r="K59" s="4"/>
      <c r="L59" s="4"/>
      <c r="M59" s="4"/>
      <c r="N59" s="4">
        <f t="shared" si="3"/>
        <v>0</v>
      </c>
      <c r="O59" s="4">
        <f t="shared" si="4"/>
        <v>1215</v>
      </c>
      <c r="P59">
        <v>1215</v>
      </c>
    </row>
    <row r="60" spans="1:17" x14ac:dyDescent="0.25">
      <c r="A60">
        <v>1815</v>
      </c>
      <c r="B60" t="s">
        <v>58</v>
      </c>
      <c r="C60">
        <v>16737909.17</v>
      </c>
      <c r="D60" s="4">
        <v>16738</v>
      </c>
      <c r="E60" s="5">
        <f>-D60</f>
        <v>-16738</v>
      </c>
      <c r="F60" s="5"/>
      <c r="G60" s="5"/>
      <c r="H60" s="5"/>
      <c r="I60" s="5"/>
      <c r="J60" s="5"/>
      <c r="K60" s="4"/>
      <c r="L60" s="4"/>
      <c r="M60" s="4"/>
      <c r="N60" s="4">
        <f t="shared" si="3"/>
        <v>-16738</v>
      </c>
      <c r="O60" s="4">
        <f t="shared" si="4"/>
        <v>0</v>
      </c>
      <c r="P60">
        <v>0</v>
      </c>
      <c r="Q60">
        <v>16738</v>
      </c>
    </row>
    <row r="61" spans="1:17" x14ac:dyDescent="0.25">
      <c r="A61">
        <v>1820</v>
      </c>
      <c r="B61" t="s">
        <v>59</v>
      </c>
      <c r="C61">
        <v>66946.28</v>
      </c>
      <c r="D61" s="4">
        <v>67</v>
      </c>
      <c r="E61" s="4">
        <f>-D61</f>
        <v>-67</v>
      </c>
      <c r="F61" s="4"/>
      <c r="G61" s="4"/>
      <c r="H61" s="4"/>
      <c r="I61" s="4"/>
      <c r="J61" s="4"/>
      <c r="K61" s="4"/>
      <c r="L61" s="4"/>
      <c r="M61" s="4"/>
      <c r="N61" s="4">
        <f t="shared" si="3"/>
        <v>-67</v>
      </c>
      <c r="O61" s="4">
        <f t="shared" si="4"/>
        <v>0</v>
      </c>
      <c r="P61">
        <v>0</v>
      </c>
      <c r="Q61">
        <v>67</v>
      </c>
    </row>
    <row r="62" spans="1:17" x14ac:dyDescent="0.25">
      <c r="A62">
        <v>1825</v>
      </c>
      <c r="B62" t="s">
        <v>60</v>
      </c>
      <c r="C62">
        <v>3000</v>
      </c>
      <c r="D62" s="4">
        <v>3</v>
      </c>
      <c r="E62" s="4"/>
      <c r="F62" s="4"/>
      <c r="G62" s="4"/>
      <c r="H62" s="4"/>
      <c r="I62" s="4"/>
      <c r="J62" s="4"/>
      <c r="K62" s="4"/>
      <c r="L62" s="4"/>
      <c r="M62" s="4"/>
      <c r="N62" s="4">
        <f t="shared" si="3"/>
        <v>0</v>
      </c>
      <c r="O62" s="4">
        <f t="shared" si="4"/>
        <v>3</v>
      </c>
      <c r="P62">
        <v>3</v>
      </c>
    </row>
    <row r="63" spans="1:17" x14ac:dyDescent="0.25">
      <c r="A63">
        <v>2010</v>
      </c>
      <c r="B63" t="s">
        <v>61</v>
      </c>
      <c r="C63">
        <v>-4454198.1900000004</v>
      </c>
      <c r="D63" s="4">
        <v>-4454</v>
      </c>
      <c r="E63" s="4"/>
      <c r="F63" s="4"/>
      <c r="G63" s="4"/>
      <c r="H63" s="4"/>
      <c r="I63" s="4"/>
      <c r="J63" s="4"/>
      <c r="K63" s="4"/>
      <c r="L63" s="4"/>
      <c r="M63" s="4"/>
      <c r="N63" s="4">
        <f t="shared" si="3"/>
        <v>0</v>
      </c>
      <c r="O63" s="4">
        <f t="shared" si="4"/>
        <v>-4454</v>
      </c>
      <c r="P63">
        <v>-3537</v>
      </c>
      <c r="Q63">
        <v>-1238</v>
      </c>
    </row>
    <row r="64" spans="1:17" x14ac:dyDescent="0.25">
      <c r="A64">
        <v>2015</v>
      </c>
      <c r="B64" t="s">
        <v>62</v>
      </c>
      <c r="C64">
        <v>-2181.71</v>
      </c>
      <c r="D64" s="4">
        <v>0</v>
      </c>
      <c r="E64" s="4"/>
      <c r="F64" s="4"/>
      <c r="G64" s="4"/>
      <c r="H64" s="4"/>
      <c r="I64" s="4"/>
      <c r="J64" s="4"/>
      <c r="K64" s="4"/>
      <c r="L64" s="4"/>
      <c r="M64" s="4"/>
      <c r="N64" s="4">
        <f t="shared" si="3"/>
        <v>0</v>
      </c>
      <c r="O64" s="4">
        <f t="shared" si="4"/>
        <v>0</v>
      </c>
      <c r="P64">
        <v>0</v>
      </c>
    </row>
    <row r="65" spans="1:17" x14ac:dyDescent="0.25">
      <c r="A65">
        <v>2020</v>
      </c>
      <c r="B65" t="s">
        <v>63</v>
      </c>
      <c r="C65">
        <v>3964.99</v>
      </c>
      <c r="D65" s="4">
        <v>4</v>
      </c>
      <c r="E65" s="4"/>
      <c r="F65" s="4"/>
      <c r="G65" s="4"/>
      <c r="H65" s="4"/>
      <c r="I65" s="4"/>
      <c r="J65" s="4"/>
      <c r="K65" s="4"/>
      <c r="L65" s="4"/>
      <c r="M65" s="4"/>
      <c r="N65" s="4">
        <f t="shared" si="3"/>
        <v>0</v>
      </c>
      <c r="O65" s="4">
        <f t="shared" si="4"/>
        <v>4</v>
      </c>
      <c r="P65">
        <v>-2</v>
      </c>
      <c r="Q65">
        <v>-17</v>
      </c>
    </row>
    <row r="66" spans="1:17" x14ac:dyDescent="0.25">
      <c r="A66">
        <v>2030</v>
      </c>
      <c r="B66" t="s">
        <v>64</v>
      </c>
      <c r="C66">
        <v>-607595.9</v>
      </c>
      <c r="D66" s="4">
        <v>-608</v>
      </c>
      <c r="E66" s="4"/>
      <c r="F66" s="4"/>
      <c r="G66" s="4"/>
      <c r="H66" s="4"/>
      <c r="I66" s="4"/>
      <c r="J66" s="4"/>
      <c r="K66" s="4"/>
      <c r="L66" s="4"/>
      <c r="M66" s="4"/>
      <c r="N66" s="4">
        <f t="shared" si="3"/>
        <v>0</v>
      </c>
      <c r="O66" s="4">
        <f t="shared" si="4"/>
        <v>-608</v>
      </c>
      <c r="P66">
        <v>-1063</v>
      </c>
      <c r="Q66">
        <v>-170</v>
      </c>
    </row>
    <row r="67" spans="1:17" x14ac:dyDescent="0.25">
      <c r="A67">
        <v>2035</v>
      </c>
      <c r="B67" t="s">
        <v>65</v>
      </c>
      <c r="C67">
        <v>-826691.33</v>
      </c>
      <c r="D67" s="4">
        <v>-827</v>
      </c>
      <c r="E67" s="4"/>
      <c r="F67" s="4"/>
      <c r="G67" s="4"/>
      <c r="H67" s="4"/>
      <c r="I67" s="4"/>
      <c r="J67" s="4"/>
      <c r="K67" s="4"/>
      <c r="L67" s="4"/>
      <c r="M67" s="4"/>
      <c r="N67" s="4">
        <f t="shared" si="3"/>
        <v>0</v>
      </c>
      <c r="O67" s="4">
        <f t="shared" si="4"/>
        <v>-827</v>
      </c>
      <c r="P67">
        <v>-457</v>
      </c>
      <c r="Q67">
        <v>-1436</v>
      </c>
    </row>
    <row r="68" spans="1:17" x14ac:dyDescent="0.25">
      <c r="A68">
        <v>2045</v>
      </c>
      <c r="B68" t="s">
        <v>66</v>
      </c>
      <c r="C68">
        <v>-624645.31000000006</v>
      </c>
      <c r="D68" s="4">
        <v>-625</v>
      </c>
      <c r="E68" s="4"/>
      <c r="F68" s="4"/>
      <c r="G68" s="4"/>
      <c r="H68" s="4"/>
      <c r="I68" s="4"/>
      <c r="J68" s="4"/>
      <c r="K68" s="4"/>
      <c r="L68" s="4"/>
      <c r="M68" s="4"/>
      <c r="N68" s="4">
        <f t="shared" si="3"/>
        <v>0</v>
      </c>
      <c r="O68" s="4">
        <f t="shared" si="4"/>
        <v>-625</v>
      </c>
      <c r="P68">
        <v>-631</v>
      </c>
      <c r="Q68">
        <v>-364</v>
      </c>
    </row>
    <row r="69" spans="1:17" x14ac:dyDescent="0.25">
      <c r="A69">
        <v>2055</v>
      </c>
      <c r="B69" t="s">
        <v>67</v>
      </c>
      <c r="C69">
        <v>-909271.93</v>
      </c>
      <c r="D69" s="4">
        <v>-909</v>
      </c>
      <c r="E69" s="4"/>
      <c r="F69" s="4"/>
      <c r="G69" s="4"/>
      <c r="H69" s="4"/>
      <c r="I69" s="4"/>
      <c r="J69" s="4"/>
      <c r="K69" s="4"/>
      <c r="L69" s="4"/>
      <c r="M69" s="4"/>
      <c r="N69" s="4">
        <f t="shared" si="3"/>
        <v>0</v>
      </c>
      <c r="O69" s="4">
        <f t="shared" si="4"/>
        <v>-909</v>
      </c>
      <c r="P69">
        <v>-883</v>
      </c>
      <c r="Q69">
        <v>-476</v>
      </c>
    </row>
    <row r="70" spans="1:17" x14ac:dyDescent="0.25">
      <c r="A70">
        <v>2065</v>
      </c>
      <c r="B70" t="s">
        <v>68</v>
      </c>
      <c r="C70">
        <v>-417536.08</v>
      </c>
      <c r="D70" s="4">
        <v>-418</v>
      </c>
      <c r="E70" s="4"/>
      <c r="F70" s="4"/>
      <c r="G70" s="4"/>
      <c r="H70" s="4"/>
      <c r="I70" s="4"/>
      <c r="J70" s="4"/>
      <c r="K70" s="4"/>
      <c r="L70" s="4"/>
      <c r="M70" s="4"/>
      <c r="N70" s="4">
        <f t="shared" si="3"/>
        <v>0</v>
      </c>
      <c r="O70" s="4">
        <f t="shared" si="4"/>
        <v>-418</v>
      </c>
      <c r="P70">
        <v>-361</v>
      </c>
      <c r="Q70">
        <v>-216</v>
      </c>
    </row>
    <row r="71" spans="1:17" x14ac:dyDescent="0.25">
      <c r="A71">
        <v>2075</v>
      </c>
      <c r="B71" t="s">
        <v>69</v>
      </c>
      <c r="C71">
        <v>-72661.3</v>
      </c>
      <c r="D71" s="4">
        <v>-73</v>
      </c>
      <c r="E71" s="4"/>
      <c r="F71" s="4"/>
      <c r="G71" s="4"/>
      <c r="H71" s="4"/>
      <c r="I71" s="4"/>
      <c r="J71" s="4"/>
      <c r="K71" s="4"/>
      <c r="L71" s="4"/>
      <c r="M71" s="4"/>
      <c r="N71" s="4">
        <f t="shared" si="3"/>
        <v>0</v>
      </c>
      <c r="O71" s="4">
        <f t="shared" si="4"/>
        <v>-73</v>
      </c>
      <c r="P71">
        <v>-59</v>
      </c>
      <c r="Q71">
        <v>-36</v>
      </c>
    </row>
    <row r="72" spans="1:17" x14ac:dyDescent="0.25">
      <c r="A72">
        <v>2085</v>
      </c>
      <c r="B72" t="s">
        <v>70</v>
      </c>
      <c r="C72">
        <v>-40770.92</v>
      </c>
      <c r="D72" s="4">
        <v>-41</v>
      </c>
      <c r="E72" s="4"/>
      <c r="F72" s="4"/>
      <c r="G72" s="4"/>
      <c r="H72" s="4"/>
      <c r="I72" s="4"/>
      <c r="J72" s="4"/>
      <c r="K72" s="4"/>
      <c r="L72" s="4"/>
      <c r="M72" s="4"/>
      <c r="N72" s="4">
        <f t="shared" ref="N72:N99" si="5">SUM(E72:M72)</f>
        <v>0</v>
      </c>
      <c r="O72" s="4">
        <f t="shared" ref="O72:O99" si="6">D72+N72</f>
        <v>-41</v>
      </c>
      <c r="P72">
        <v>-32</v>
      </c>
      <c r="Q72">
        <v>-25</v>
      </c>
    </row>
    <row r="73" spans="1:17" x14ac:dyDescent="0.25">
      <c r="A73">
        <v>2120</v>
      </c>
      <c r="B73" t="s">
        <v>71</v>
      </c>
      <c r="C73">
        <v>-48427.519999999997</v>
      </c>
      <c r="D73" s="4">
        <v>-48</v>
      </c>
      <c r="E73" s="4"/>
      <c r="F73" s="4"/>
      <c r="G73" s="4"/>
      <c r="H73" s="4"/>
      <c r="I73" s="4"/>
      <c r="J73" s="4"/>
      <c r="K73" s="4"/>
      <c r="L73" s="4"/>
      <c r="M73" s="4"/>
      <c r="N73" s="4">
        <f t="shared" si="5"/>
        <v>0</v>
      </c>
      <c r="O73" s="4">
        <f t="shared" si="6"/>
        <v>-48</v>
      </c>
      <c r="P73">
        <v>-11</v>
      </c>
      <c r="Q73">
        <v>-23</v>
      </c>
    </row>
    <row r="74" spans="1:17" x14ac:dyDescent="0.25">
      <c r="A74">
        <v>2121</v>
      </c>
      <c r="B74" t="s">
        <v>72</v>
      </c>
      <c r="C74">
        <v>-12534.95</v>
      </c>
      <c r="D74" s="4">
        <v>-13</v>
      </c>
      <c r="E74" s="4"/>
      <c r="F74" s="4"/>
      <c r="G74" s="4"/>
      <c r="H74" s="4"/>
      <c r="I74" s="4"/>
      <c r="J74" s="4"/>
      <c r="K74" s="4"/>
      <c r="L74" s="4"/>
      <c r="M74" s="4"/>
      <c r="N74" s="4">
        <f t="shared" si="5"/>
        <v>0</v>
      </c>
      <c r="O74" s="4">
        <f t="shared" si="6"/>
        <v>-13</v>
      </c>
      <c r="P74">
        <v>-13</v>
      </c>
      <c r="Q74">
        <v>-10</v>
      </c>
    </row>
    <row r="75" spans="1:17" x14ac:dyDescent="0.25">
      <c r="A75">
        <v>2140</v>
      </c>
      <c r="B75" t="s">
        <v>73</v>
      </c>
      <c r="C75">
        <v>3580.3</v>
      </c>
      <c r="D75" s="4">
        <v>4</v>
      </c>
      <c r="E75" s="4"/>
      <c r="F75" s="4"/>
      <c r="G75" s="4"/>
      <c r="H75" s="4"/>
      <c r="I75" s="4"/>
      <c r="J75" s="4"/>
      <c r="K75" s="4"/>
      <c r="L75" s="4"/>
      <c r="M75" s="4"/>
      <c r="N75" s="4">
        <f t="shared" si="5"/>
        <v>0</v>
      </c>
      <c r="O75" s="4">
        <f t="shared" si="6"/>
        <v>4</v>
      </c>
      <c r="P75">
        <v>4</v>
      </c>
      <c r="Q75">
        <v>0</v>
      </c>
    </row>
    <row r="76" spans="1:17" x14ac:dyDescent="0.25">
      <c r="A76">
        <v>2145</v>
      </c>
      <c r="B76" t="s">
        <v>74</v>
      </c>
      <c r="C76">
        <v>-16851164.109999999</v>
      </c>
      <c r="D76" s="4">
        <v>-16851</v>
      </c>
      <c r="E76">
        <v>10214</v>
      </c>
      <c r="G76">
        <v>1486</v>
      </c>
      <c r="H76">
        <v>1794</v>
      </c>
      <c r="K76" s="4"/>
      <c r="L76" s="4"/>
      <c r="M76" s="4"/>
      <c r="N76" s="4">
        <f t="shared" si="5"/>
        <v>13494</v>
      </c>
      <c r="O76" s="4">
        <f t="shared" si="6"/>
        <v>-3357</v>
      </c>
      <c r="P76">
        <v>-3357</v>
      </c>
      <c r="Q76">
        <v>-22697</v>
      </c>
    </row>
    <row r="77" spans="1:17" x14ac:dyDescent="0.25">
      <c r="A77">
        <v>2147</v>
      </c>
      <c r="B77" t="s">
        <v>75</v>
      </c>
      <c r="C77">
        <v>-22941.06</v>
      </c>
      <c r="D77" s="4">
        <v>-23</v>
      </c>
      <c r="E77" s="4"/>
      <c r="F77" s="4"/>
      <c r="G77" s="4"/>
      <c r="H77" s="4"/>
      <c r="I77" s="4"/>
      <c r="J77" s="4"/>
      <c r="K77" s="4"/>
      <c r="L77" s="4"/>
      <c r="M77" s="4"/>
      <c r="N77" s="4">
        <f t="shared" si="5"/>
        <v>0</v>
      </c>
      <c r="O77" s="4">
        <f t="shared" si="6"/>
        <v>-23</v>
      </c>
      <c r="P77">
        <v>-23</v>
      </c>
      <c r="Q77">
        <v>-23</v>
      </c>
    </row>
    <row r="78" spans="1:17" x14ac:dyDescent="0.25">
      <c r="A78">
        <v>2150</v>
      </c>
      <c r="B78" t="s">
        <v>76</v>
      </c>
      <c r="C78">
        <v>-138308016.88999999</v>
      </c>
      <c r="D78" s="4">
        <v>-138308</v>
      </c>
      <c r="E78" s="4"/>
      <c r="F78" s="4">
        <v>40000</v>
      </c>
      <c r="G78" s="4"/>
      <c r="H78" s="4"/>
      <c r="I78" s="4"/>
      <c r="J78" s="4"/>
      <c r="K78" s="4"/>
      <c r="L78" s="4"/>
      <c r="M78" s="4"/>
      <c r="N78" s="4">
        <f t="shared" si="5"/>
        <v>40000</v>
      </c>
      <c r="O78" s="4">
        <f t="shared" si="6"/>
        <v>-98308</v>
      </c>
      <c r="P78">
        <v>-98308</v>
      </c>
      <c r="Q78">
        <v>-77308</v>
      </c>
    </row>
    <row r="79" spans="1:17" x14ac:dyDescent="0.25">
      <c r="B79" t="s">
        <v>238</v>
      </c>
      <c r="D79" s="4"/>
      <c r="E79" s="4"/>
      <c r="F79" s="4">
        <f>-F78</f>
        <v>-40000</v>
      </c>
      <c r="G79" s="4"/>
      <c r="H79" s="4"/>
      <c r="I79" s="4"/>
      <c r="J79" s="4"/>
      <c r="K79" s="4"/>
      <c r="L79" s="4"/>
      <c r="M79" s="4"/>
      <c r="N79" s="4">
        <f t="shared" ref="N79" si="7">SUM(E79:M79)</f>
        <v>-40000</v>
      </c>
      <c r="O79" s="4">
        <f t="shared" ref="O79" si="8">D79+N79</f>
        <v>-40000</v>
      </c>
      <c r="P79">
        <v>-65000</v>
      </c>
    </row>
    <row r="80" spans="1:17" x14ac:dyDescent="0.25">
      <c r="A80">
        <v>2210</v>
      </c>
      <c r="B80" t="s">
        <v>77</v>
      </c>
      <c r="C80">
        <v>-0.01</v>
      </c>
      <c r="D80" s="4">
        <v>0</v>
      </c>
      <c r="E80" s="4"/>
      <c r="F80" s="4"/>
      <c r="G80" s="4"/>
      <c r="H80" s="4"/>
      <c r="I80" s="4"/>
      <c r="J80" s="4"/>
      <c r="K80" s="4"/>
      <c r="L80" s="4"/>
      <c r="M80" s="4"/>
      <c r="N80" s="4">
        <f t="shared" si="5"/>
        <v>0</v>
      </c>
      <c r="O80" s="4">
        <f t="shared" si="6"/>
        <v>0</v>
      </c>
      <c r="P80">
        <v>0</v>
      </c>
      <c r="Q80">
        <v>0</v>
      </c>
    </row>
    <row r="81" spans="1:17" x14ac:dyDescent="0.25">
      <c r="A81">
        <v>2211</v>
      </c>
      <c r="B81" t="s">
        <v>78</v>
      </c>
      <c r="C81">
        <v>-3000000</v>
      </c>
      <c r="D81" s="4">
        <v>-3000</v>
      </c>
      <c r="E81" s="4"/>
      <c r="F81" s="4"/>
      <c r="G81" s="4"/>
      <c r="H81" s="4"/>
      <c r="I81" s="4"/>
      <c r="J81" s="4">
        <f>-D81</f>
        <v>3000</v>
      </c>
      <c r="K81" s="4"/>
      <c r="L81" s="4"/>
      <c r="M81" s="4"/>
      <c r="N81" s="4">
        <f t="shared" si="5"/>
        <v>3000</v>
      </c>
      <c r="O81" s="4">
        <f t="shared" si="6"/>
        <v>0</v>
      </c>
      <c r="P81">
        <v>0</v>
      </c>
    </row>
    <row r="82" spans="1:17" x14ac:dyDescent="0.25">
      <c r="A82">
        <v>2310</v>
      </c>
      <c r="B82" t="s">
        <v>79</v>
      </c>
      <c r="C82">
        <v>-109465.06</v>
      </c>
      <c r="D82" s="4">
        <v>-109</v>
      </c>
      <c r="E82" s="4"/>
      <c r="F82" s="4"/>
      <c r="G82" s="4"/>
      <c r="H82" s="4"/>
      <c r="I82" s="4"/>
      <c r="J82" s="4"/>
      <c r="K82" s="4"/>
      <c r="L82" s="4"/>
      <c r="M82" s="4"/>
      <c r="N82" s="4">
        <f t="shared" si="5"/>
        <v>0</v>
      </c>
      <c r="O82" s="4">
        <f t="shared" si="6"/>
        <v>-109</v>
      </c>
      <c r="P82">
        <v>-107</v>
      </c>
      <c r="Q82">
        <v>-31</v>
      </c>
    </row>
    <row r="83" spans="1:17" x14ac:dyDescent="0.25">
      <c r="A83">
        <v>2410</v>
      </c>
      <c r="B83" t="s">
        <v>80</v>
      </c>
      <c r="C83">
        <v>-2044513.42</v>
      </c>
      <c r="D83" s="4">
        <v>-2045</v>
      </c>
      <c r="E83" s="4"/>
      <c r="F83" s="4"/>
      <c r="G83" s="4"/>
      <c r="H83" s="4"/>
      <c r="I83" s="4"/>
      <c r="J83" s="4"/>
      <c r="K83" s="4"/>
      <c r="L83" s="4"/>
      <c r="M83" s="4"/>
      <c r="N83" s="4">
        <f t="shared" si="5"/>
        <v>0</v>
      </c>
      <c r="O83" s="4">
        <f t="shared" si="6"/>
        <v>-2045</v>
      </c>
      <c r="P83">
        <v>-2083</v>
      </c>
      <c r="Q83">
        <v>-767</v>
      </c>
    </row>
    <row r="84" spans="1:17" x14ac:dyDescent="0.25">
      <c r="A84">
        <v>2510</v>
      </c>
      <c r="B84" t="s">
        <v>81</v>
      </c>
      <c r="C84">
        <v>-146707.19</v>
      </c>
      <c r="D84" s="4">
        <v>-147</v>
      </c>
      <c r="E84" s="4"/>
      <c r="F84" s="4"/>
      <c r="G84" s="4"/>
      <c r="H84" s="4"/>
      <c r="I84" s="4"/>
      <c r="J84" s="4"/>
      <c r="K84" s="4"/>
      <c r="L84" s="4"/>
      <c r="M84" s="4"/>
      <c r="N84" s="4">
        <f t="shared" si="5"/>
        <v>0</v>
      </c>
      <c r="O84" s="4">
        <f t="shared" si="6"/>
        <v>-147</v>
      </c>
      <c r="P84">
        <v>-137</v>
      </c>
      <c r="Q84">
        <v>-13</v>
      </c>
    </row>
    <row r="85" spans="1:17" x14ac:dyDescent="0.25">
      <c r="A85">
        <v>3010</v>
      </c>
      <c r="B85" t="s">
        <v>82</v>
      </c>
      <c r="C85">
        <v>-3202.65</v>
      </c>
      <c r="D85" s="4">
        <v>-3</v>
      </c>
      <c r="E85" s="4"/>
      <c r="F85" s="4"/>
      <c r="G85" s="4"/>
      <c r="H85" s="4"/>
      <c r="I85" s="4"/>
      <c r="J85" s="4"/>
      <c r="K85" s="4"/>
      <c r="L85" s="4"/>
      <c r="M85" s="4"/>
      <c r="N85" s="4">
        <f t="shared" si="5"/>
        <v>0</v>
      </c>
      <c r="O85" s="4">
        <f t="shared" si="6"/>
        <v>-3</v>
      </c>
      <c r="P85">
        <v>-3</v>
      </c>
      <c r="Q85">
        <v>-3</v>
      </c>
    </row>
    <row r="86" spans="1:17" x14ac:dyDescent="0.25">
      <c r="A86">
        <v>3015</v>
      </c>
      <c r="B86" t="s">
        <v>83</v>
      </c>
      <c r="C86">
        <v>-10532058.9</v>
      </c>
      <c r="D86" s="4">
        <v>-10532</v>
      </c>
      <c r="E86" s="5">
        <f>-(E76+E60)</f>
        <v>6524</v>
      </c>
      <c r="F86" s="5"/>
      <c r="G86">
        <v>-1486</v>
      </c>
      <c r="H86">
        <v>-1794</v>
      </c>
      <c r="K86" s="4"/>
      <c r="L86" s="4"/>
      <c r="M86" s="4"/>
      <c r="N86" s="4">
        <f t="shared" si="5"/>
        <v>3244</v>
      </c>
      <c r="O86" s="4">
        <f t="shared" si="6"/>
        <v>-7288</v>
      </c>
      <c r="P86">
        <v>-7288</v>
      </c>
      <c r="Q86">
        <v>-4676</v>
      </c>
    </row>
    <row r="87" spans="1:17" x14ac:dyDescent="0.25">
      <c r="A87">
        <v>3020</v>
      </c>
      <c r="B87" t="s">
        <v>84</v>
      </c>
      <c r="C87">
        <v>-926.4</v>
      </c>
      <c r="D87" s="4">
        <v>-1</v>
      </c>
      <c r="E87" s="4"/>
      <c r="F87" s="4"/>
      <c r="G87" s="4"/>
      <c r="H87" s="4"/>
      <c r="I87" s="4"/>
      <c r="J87" s="4"/>
      <c r="K87" s="4"/>
      <c r="L87" s="4"/>
      <c r="M87" s="4"/>
      <c r="N87" s="4">
        <f t="shared" si="5"/>
        <v>0</v>
      </c>
      <c r="O87" s="4">
        <f t="shared" si="6"/>
        <v>-1</v>
      </c>
      <c r="P87">
        <v>-1</v>
      </c>
      <c r="Q87">
        <v>-1</v>
      </c>
    </row>
    <row r="88" spans="1:17" x14ac:dyDescent="0.25">
      <c r="A88">
        <v>3025</v>
      </c>
      <c r="B88" t="s">
        <v>85</v>
      </c>
      <c r="C88">
        <v>-6391349.5300000003</v>
      </c>
      <c r="D88" s="4">
        <v>-6391</v>
      </c>
      <c r="E88" s="4"/>
      <c r="F88" s="4"/>
      <c r="G88" s="4"/>
      <c r="H88" s="4"/>
      <c r="I88" s="4"/>
      <c r="J88" s="4"/>
      <c r="K88" s="4"/>
      <c r="L88" s="4"/>
      <c r="M88" s="4"/>
      <c r="N88" s="4">
        <f t="shared" si="5"/>
        <v>0</v>
      </c>
      <c r="O88" s="4">
        <f t="shared" si="6"/>
        <v>-6391</v>
      </c>
      <c r="P88">
        <v>-6391</v>
      </c>
      <c r="Q88">
        <v>-6391</v>
      </c>
    </row>
    <row r="89" spans="1:17" x14ac:dyDescent="0.25">
      <c r="A89">
        <v>3030</v>
      </c>
      <c r="B89" t="s">
        <v>86</v>
      </c>
      <c r="C89">
        <v>-1083.26</v>
      </c>
      <c r="D89" s="4">
        <v>-1</v>
      </c>
      <c r="E89" s="4"/>
      <c r="F89" s="4"/>
      <c r="G89" s="4"/>
      <c r="H89" s="4"/>
      <c r="I89" s="4"/>
      <c r="J89" s="4"/>
      <c r="K89" s="4"/>
      <c r="L89" s="4"/>
      <c r="M89" s="4"/>
      <c r="N89" s="4">
        <f t="shared" si="5"/>
        <v>0</v>
      </c>
      <c r="O89" s="4">
        <f t="shared" si="6"/>
        <v>-1</v>
      </c>
      <c r="P89">
        <v>-1</v>
      </c>
      <c r="Q89">
        <v>-1</v>
      </c>
    </row>
    <row r="90" spans="1:17" x14ac:dyDescent="0.25">
      <c r="A90">
        <v>3032</v>
      </c>
      <c r="B90" t="s">
        <v>87</v>
      </c>
      <c r="C90">
        <v>153728.4</v>
      </c>
      <c r="D90" s="4">
        <v>154</v>
      </c>
      <c r="E90" s="4"/>
      <c r="F90" s="4"/>
      <c r="G90" s="4"/>
      <c r="H90" s="4"/>
      <c r="I90" s="4"/>
      <c r="J90" s="4"/>
      <c r="K90" s="4"/>
      <c r="L90" s="4"/>
      <c r="M90" s="4"/>
      <c r="N90" s="4">
        <f t="shared" si="5"/>
        <v>0</v>
      </c>
      <c r="O90" s="4">
        <f t="shared" si="6"/>
        <v>154</v>
      </c>
      <c r="P90">
        <v>154</v>
      </c>
      <c r="Q90">
        <v>154</v>
      </c>
    </row>
    <row r="91" spans="1:17" x14ac:dyDescent="0.25">
      <c r="A91">
        <v>3035</v>
      </c>
      <c r="B91" t="s">
        <v>88</v>
      </c>
      <c r="C91">
        <v>-9998916.6899999995</v>
      </c>
      <c r="D91" s="4">
        <v>-9999</v>
      </c>
      <c r="E91" s="4"/>
      <c r="F91" s="4"/>
      <c r="G91" s="4"/>
      <c r="H91" s="4"/>
      <c r="I91" s="4"/>
      <c r="J91" s="4"/>
      <c r="K91" s="4"/>
      <c r="L91" s="4"/>
      <c r="M91" s="4"/>
      <c r="N91" s="4">
        <f t="shared" si="5"/>
        <v>0</v>
      </c>
      <c r="O91" s="4">
        <f t="shared" si="6"/>
        <v>-9999</v>
      </c>
      <c r="P91">
        <v>-9999</v>
      </c>
      <c r="Q91">
        <v>-9999</v>
      </c>
    </row>
    <row r="92" spans="1:17" x14ac:dyDescent="0.25">
      <c r="A92">
        <v>3040</v>
      </c>
      <c r="B92" t="s">
        <v>89</v>
      </c>
      <c r="C92">
        <v>-1176.3399999999999</v>
      </c>
      <c r="D92" s="4">
        <v>-1</v>
      </c>
      <c r="E92" s="4"/>
      <c r="F92" s="4"/>
      <c r="G92" s="4"/>
      <c r="H92" s="4"/>
      <c r="I92" s="4"/>
      <c r="J92" s="4"/>
      <c r="K92" s="4"/>
      <c r="L92" s="4"/>
      <c r="M92" s="4"/>
      <c r="N92" s="4">
        <f t="shared" si="5"/>
        <v>0</v>
      </c>
      <c r="O92" s="4">
        <f t="shared" si="6"/>
        <v>-1</v>
      </c>
      <c r="P92">
        <v>-1</v>
      </c>
      <c r="Q92">
        <v>-1</v>
      </c>
    </row>
    <row r="93" spans="1:17" x14ac:dyDescent="0.25">
      <c r="A93">
        <v>3042</v>
      </c>
      <c r="B93" t="s">
        <v>90</v>
      </c>
      <c r="C93">
        <v>152658.68</v>
      </c>
      <c r="D93" s="4">
        <v>153</v>
      </c>
      <c r="E93" s="4"/>
      <c r="F93" s="4"/>
      <c r="G93" s="4"/>
      <c r="H93" s="4"/>
      <c r="I93" s="4"/>
      <c r="J93" s="4"/>
      <c r="K93" s="4"/>
      <c r="L93" s="4"/>
      <c r="M93" s="4"/>
      <c r="N93" s="4">
        <f t="shared" si="5"/>
        <v>0</v>
      </c>
      <c r="O93" s="4">
        <f t="shared" si="6"/>
        <v>153</v>
      </c>
      <c r="P93">
        <v>153</v>
      </c>
      <c r="Q93">
        <v>153</v>
      </c>
    </row>
    <row r="94" spans="1:17" x14ac:dyDescent="0.25">
      <c r="A94">
        <v>3045</v>
      </c>
      <c r="B94" t="s">
        <v>91</v>
      </c>
      <c r="C94">
        <v>-33159827.300000001</v>
      </c>
      <c r="D94" s="4">
        <v>-33160</v>
      </c>
      <c r="E94" s="4"/>
      <c r="F94" s="4"/>
      <c r="G94" s="4"/>
      <c r="H94" s="4"/>
      <c r="I94" s="4"/>
      <c r="J94" s="4"/>
      <c r="K94" s="4"/>
      <c r="L94" s="4"/>
      <c r="M94" s="4"/>
      <c r="N94" s="4">
        <f t="shared" si="5"/>
        <v>0</v>
      </c>
      <c r="O94" s="4">
        <f t="shared" si="6"/>
        <v>-33160</v>
      </c>
      <c r="P94">
        <v>-33160</v>
      </c>
      <c r="Q94">
        <v>-33160</v>
      </c>
    </row>
    <row r="95" spans="1:17" x14ac:dyDescent="0.25">
      <c r="A95">
        <v>3046</v>
      </c>
      <c r="B95" t="s">
        <v>92</v>
      </c>
      <c r="C95">
        <v>-370.17</v>
      </c>
      <c r="D95" s="4">
        <v>0</v>
      </c>
      <c r="E95" s="4"/>
      <c r="F95" s="4"/>
      <c r="G95" s="4"/>
      <c r="H95" s="4"/>
      <c r="I95" s="4"/>
      <c r="J95" s="4"/>
      <c r="K95" s="4"/>
      <c r="L95" s="4"/>
      <c r="M95" s="4"/>
      <c r="N95" s="4">
        <f t="shared" si="5"/>
        <v>0</v>
      </c>
      <c r="O95" s="4">
        <f t="shared" si="6"/>
        <v>0</v>
      </c>
      <c r="P95">
        <v>0</v>
      </c>
      <c r="Q95">
        <v>0</v>
      </c>
    </row>
    <row r="96" spans="1:17" x14ac:dyDescent="0.25">
      <c r="A96">
        <v>3048</v>
      </c>
      <c r="B96" t="s">
        <v>93</v>
      </c>
      <c r="C96">
        <v>83723</v>
      </c>
      <c r="D96" s="4">
        <v>84</v>
      </c>
      <c r="E96" s="4"/>
      <c r="F96" s="4"/>
      <c r="G96" s="4"/>
      <c r="H96" s="4"/>
      <c r="I96" s="4"/>
      <c r="J96" s="4"/>
      <c r="K96" s="4"/>
      <c r="L96" s="4"/>
      <c r="M96" s="4"/>
      <c r="N96" s="4">
        <f t="shared" si="5"/>
        <v>0</v>
      </c>
      <c r="O96" s="4">
        <f t="shared" si="6"/>
        <v>84</v>
      </c>
      <c r="P96">
        <v>84</v>
      </c>
      <c r="Q96">
        <v>84</v>
      </c>
    </row>
    <row r="97" spans="1:17" x14ac:dyDescent="0.25">
      <c r="A97">
        <v>3049</v>
      </c>
      <c r="B97" t="s">
        <v>94</v>
      </c>
      <c r="C97">
        <v>-55524634.829999998</v>
      </c>
      <c r="D97" s="4">
        <v>-55525</v>
      </c>
      <c r="E97" s="4"/>
      <c r="F97" s="4"/>
      <c r="G97" s="4"/>
      <c r="H97" s="4"/>
      <c r="I97" s="4"/>
      <c r="J97" s="4">
        <f>-J81</f>
        <v>-3000</v>
      </c>
      <c r="K97" s="4"/>
      <c r="L97" s="4"/>
      <c r="M97" s="4"/>
      <c r="N97" s="4">
        <f t="shared" si="5"/>
        <v>-3000</v>
      </c>
      <c r="O97" s="4">
        <f t="shared" si="6"/>
        <v>-58525</v>
      </c>
      <c r="P97">
        <v>-58525</v>
      </c>
      <c r="Q97">
        <v>-55525</v>
      </c>
    </row>
    <row r="98" spans="1:17" x14ac:dyDescent="0.25">
      <c r="A98">
        <v>3060</v>
      </c>
      <c r="B98" t="s">
        <v>95</v>
      </c>
      <c r="C98">
        <v>-6409.6</v>
      </c>
      <c r="D98" s="4">
        <v>-6</v>
      </c>
      <c r="E98" s="4"/>
      <c r="F98" s="4"/>
      <c r="G98" s="4"/>
      <c r="H98" s="4"/>
      <c r="I98" s="4"/>
      <c r="J98" s="4"/>
      <c r="K98" s="4"/>
      <c r="L98" s="4"/>
      <c r="M98" s="4"/>
      <c r="N98" s="4">
        <f t="shared" si="5"/>
        <v>0</v>
      </c>
      <c r="O98" s="4">
        <f t="shared" si="6"/>
        <v>-6</v>
      </c>
      <c r="P98">
        <v>-6</v>
      </c>
      <c r="Q98">
        <v>-5</v>
      </c>
    </row>
    <row r="99" spans="1:17" x14ac:dyDescent="0.25">
      <c r="A99">
        <v>3090</v>
      </c>
      <c r="B99" t="s">
        <v>96</v>
      </c>
      <c r="C99">
        <v>48867422.18</v>
      </c>
      <c r="D99" s="4">
        <v>104145</v>
      </c>
      <c r="E99" s="4">
        <f>-E61</f>
        <v>67</v>
      </c>
      <c r="F99" s="4"/>
      <c r="G99" s="4"/>
      <c r="H99" s="4"/>
      <c r="I99" s="4"/>
      <c r="J99" s="4"/>
      <c r="K99" s="4"/>
      <c r="L99" s="4"/>
      <c r="M99" s="4"/>
      <c r="N99" s="4">
        <f t="shared" si="5"/>
        <v>67</v>
      </c>
      <c r="O99" s="4">
        <f t="shared" si="6"/>
        <v>104212</v>
      </c>
      <c r="P99">
        <v>161325</v>
      </c>
      <c r="Q99">
        <v>76550</v>
      </c>
    </row>
    <row r="100" spans="1:17" x14ac:dyDescent="0.25">
      <c r="A100">
        <v>4010</v>
      </c>
      <c r="B100" t="s">
        <v>249</v>
      </c>
      <c r="C100">
        <v>0</v>
      </c>
      <c r="Q100">
        <v>-507</v>
      </c>
    </row>
    <row r="101" spans="1:17" x14ac:dyDescent="0.25">
      <c r="A101">
        <v>4900</v>
      </c>
      <c r="B101" t="s">
        <v>97</v>
      </c>
      <c r="C101">
        <v>-1285</v>
      </c>
      <c r="D101" s="4">
        <v>-1</v>
      </c>
      <c r="E101" s="4"/>
      <c r="F101" s="4"/>
      <c r="G101" s="4"/>
      <c r="H101" s="4"/>
      <c r="I101" s="4"/>
      <c r="J101" s="4"/>
      <c r="K101" s="4"/>
      <c r="L101" s="4"/>
      <c r="M101" s="4"/>
      <c r="N101" s="4">
        <f>SUM(E101:M101)</f>
        <v>0</v>
      </c>
      <c r="O101" s="4">
        <f>D101+N101</f>
        <v>-1</v>
      </c>
      <c r="Q101">
        <v>-11</v>
      </c>
    </row>
    <row r="102" spans="1:17" x14ac:dyDescent="0.25">
      <c r="A102">
        <v>5010</v>
      </c>
      <c r="B102" t="s">
        <v>250</v>
      </c>
      <c r="C102">
        <v>0</v>
      </c>
      <c r="Q102">
        <v>1</v>
      </c>
    </row>
    <row r="103" spans="1:17" x14ac:dyDescent="0.25">
      <c r="A103">
        <v>5410</v>
      </c>
      <c r="B103" t="s">
        <v>251</v>
      </c>
      <c r="C103">
        <v>0</v>
      </c>
      <c r="Q103">
        <v>1</v>
      </c>
    </row>
    <row r="104" spans="1:17" x14ac:dyDescent="0.25">
      <c r="A104">
        <v>5500</v>
      </c>
      <c r="B104" t="s">
        <v>252</v>
      </c>
      <c r="C104">
        <v>0</v>
      </c>
      <c r="Q104">
        <v>32</v>
      </c>
    </row>
    <row r="105" spans="1:17" x14ac:dyDescent="0.25">
      <c r="A105">
        <v>5300</v>
      </c>
      <c r="B105" t="s">
        <v>98</v>
      </c>
      <c r="C105">
        <v>54977.23</v>
      </c>
      <c r="D105" s="4">
        <v>55</v>
      </c>
      <c r="E105" s="4"/>
      <c r="F105" s="4"/>
      <c r="G105" s="4"/>
      <c r="H105" s="4"/>
      <c r="I105" s="4"/>
      <c r="J105" s="4"/>
      <c r="K105" s="4"/>
      <c r="L105" s="4"/>
      <c r="M105" s="4"/>
      <c r="N105" s="4">
        <f t="shared" ref="N105:N136" si="9">SUM(E105:M105)</f>
        <v>0</v>
      </c>
      <c r="O105" s="4">
        <f t="shared" ref="O105:O136" si="10">D105+N105</f>
        <v>55</v>
      </c>
    </row>
    <row r="106" spans="1:17" x14ac:dyDescent="0.25">
      <c r="A106">
        <v>5400</v>
      </c>
      <c r="B106" t="s">
        <v>99</v>
      </c>
      <c r="C106">
        <v>5898.56</v>
      </c>
      <c r="D106" s="4">
        <v>6</v>
      </c>
      <c r="E106" s="4"/>
      <c r="F106" s="4"/>
      <c r="G106" s="4"/>
      <c r="H106" s="4"/>
      <c r="I106" s="4"/>
      <c r="J106" s="4"/>
      <c r="K106" s="4"/>
      <c r="L106" s="4"/>
      <c r="M106" s="4"/>
      <c r="N106" s="4">
        <f t="shared" si="9"/>
        <v>0</v>
      </c>
      <c r="O106" s="4">
        <f t="shared" si="10"/>
        <v>6</v>
      </c>
      <c r="P106">
        <v>0</v>
      </c>
      <c r="Q106">
        <v>5</v>
      </c>
    </row>
    <row r="107" spans="1:17" x14ac:dyDescent="0.25">
      <c r="A107">
        <v>5610</v>
      </c>
      <c r="B107" t="s">
        <v>100</v>
      </c>
      <c r="C107">
        <v>529</v>
      </c>
      <c r="D107" s="4">
        <v>1</v>
      </c>
      <c r="E107" s="4"/>
      <c r="F107" s="4"/>
      <c r="G107" s="4"/>
      <c r="H107" s="4"/>
      <c r="I107" s="4"/>
      <c r="J107" s="4"/>
      <c r="K107" s="4"/>
      <c r="L107" s="4"/>
      <c r="M107" s="4"/>
      <c r="N107" s="4">
        <f t="shared" si="9"/>
        <v>0</v>
      </c>
      <c r="O107" s="4">
        <f t="shared" si="10"/>
        <v>1</v>
      </c>
    </row>
    <row r="108" spans="1:17" x14ac:dyDescent="0.25">
      <c r="A108">
        <v>5700</v>
      </c>
      <c r="B108" t="s">
        <v>101</v>
      </c>
      <c r="C108">
        <v>6176</v>
      </c>
      <c r="D108" s="4">
        <v>6</v>
      </c>
      <c r="E108" s="4"/>
      <c r="F108" s="4"/>
      <c r="G108" s="4"/>
      <c r="H108" s="4"/>
      <c r="I108" s="4"/>
      <c r="J108" s="4"/>
      <c r="K108" s="4"/>
      <c r="L108" s="4"/>
      <c r="M108" s="4"/>
      <c r="N108" s="4">
        <f t="shared" si="9"/>
        <v>0</v>
      </c>
      <c r="O108" s="4">
        <f t="shared" si="10"/>
        <v>6</v>
      </c>
      <c r="Q108">
        <v>9</v>
      </c>
    </row>
    <row r="109" spans="1:17" x14ac:dyDescent="0.25">
      <c r="A109">
        <v>5730</v>
      </c>
      <c r="B109" t="s">
        <v>102</v>
      </c>
      <c r="C109">
        <v>26409.87</v>
      </c>
      <c r="D109" s="4">
        <v>26</v>
      </c>
      <c r="E109" s="4"/>
      <c r="F109" s="4"/>
      <c r="G109" s="4"/>
      <c r="H109" s="4"/>
      <c r="I109" s="4"/>
      <c r="J109" s="4"/>
      <c r="K109" s="4"/>
      <c r="L109" s="4"/>
      <c r="M109" s="4"/>
      <c r="N109" s="4">
        <f t="shared" si="9"/>
        <v>0</v>
      </c>
      <c r="O109" s="4">
        <f t="shared" si="10"/>
        <v>26</v>
      </c>
      <c r="Q109">
        <v>44</v>
      </c>
    </row>
    <row r="110" spans="1:17" x14ac:dyDescent="0.25">
      <c r="A110">
        <v>5850</v>
      </c>
      <c r="B110" t="s">
        <v>103</v>
      </c>
      <c r="C110">
        <v>55379.1</v>
      </c>
      <c r="D110" s="4">
        <v>55</v>
      </c>
      <c r="E110" s="4"/>
      <c r="F110" s="4"/>
      <c r="G110" s="4"/>
      <c r="H110" s="4"/>
      <c r="I110" s="4"/>
      <c r="J110" s="4"/>
      <c r="K110" s="4"/>
      <c r="L110" s="4"/>
      <c r="M110" s="4"/>
      <c r="N110" s="4">
        <f t="shared" si="9"/>
        <v>0</v>
      </c>
      <c r="O110" s="4">
        <f t="shared" si="10"/>
        <v>55</v>
      </c>
      <c r="P110">
        <v>5</v>
      </c>
      <c r="Q110">
        <v>71</v>
      </c>
    </row>
    <row r="111" spans="1:17" x14ac:dyDescent="0.25">
      <c r="A111">
        <v>5855</v>
      </c>
      <c r="B111" t="s">
        <v>104</v>
      </c>
      <c r="C111">
        <v>-3569.11</v>
      </c>
      <c r="D111" s="4">
        <v>-4</v>
      </c>
      <c r="E111" s="4"/>
      <c r="F111" s="4"/>
      <c r="G111" s="4"/>
      <c r="H111" s="4"/>
      <c r="I111" s="4"/>
      <c r="J111" s="4"/>
      <c r="K111" s="4"/>
      <c r="L111" s="4"/>
      <c r="M111" s="4"/>
      <c r="N111" s="4">
        <f t="shared" si="9"/>
        <v>0</v>
      </c>
      <c r="O111" s="4">
        <f t="shared" si="10"/>
        <v>-4</v>
      </c>
      <c r="Q111">
        <v>2</v>
      </c>
    </row>
    <row r="112" spans="1:17" x14ac:dyDescent="0.25">
      <c r="A112">
        <v>5900</v>
      </c>
      <c r="B112" t="s">
        <v>105</v>
      </c>
      <c r="C112">
        <v>-18149.55</v>
      </c>
      <c r="D112" s="4">
        <v>-18</v>
      </c>
      <c r="E112" s="4"/>
      <c r="F112" s="4"/>
      <c r="G112" s="4"/>
      <c r="H112" s="4"/>
      <c r="I112" s="4"/>
      <c r="J112" s="4"/>
      <c r="K112" s="4"/>
      <c r="L112" s="4"/>
      <c r="M112" s="4"/>
      <c r="N112" s="4">
        <f t="shared" si="9"/>
        <v>0</v>
      </c>
      <c r="O112" s="4">
        <f t="shared" si="10"/>
        <v>-18</v>
      </c>
      <c r="Q112">
        <v>-166</v>
      </c>
    </row>
    <row r="113" spans="1:17" x14ac:dyDescent="0.25">
      <c r="A113">
        <v>5905</v>
      </c>
      <c r="B113" t="s">
        <v>106</v>
      </c>
      <c r="C113">
        <v>-24310</v>
      </c>
      <c r="D113" s="4">
        <v>-24</v>
      </c>
      <c r="E113" s="4"/>
      <c r="F113" s="4"/>
      <c r="G113" s="4"/>
      <c r="H113" s="4"/>
      <c r="I113" s="4"/>
      <c r="J113" s="4"/>
      <c r="K113" s="4"/>
      <c r="L113" s="4"/>
      <c r="M113" s="4"/>
      <c r="N113" s="4">
        <f t="shared" si="9"/>
        <v>0</v>
      </c>
      <c r="O113" s="4">
        <f t="shared" si="10"/>
        <v>-24</v>
      </c>
      <c r="Q113">
        <v>-222</v>
      </c>
    </row>
    <row r="114" spans="1:17" x14ac:dyDescent="0.25">
      <c r="A114">
        <v>5998</v>
      </c>
      <c r="B114" t="s">
        <v>107</v>
      </c>
      <c r="C114">
        <v>41389.760000000002</v>
      </c>
      <c r="D114" s="4">
        <v>41</v>
      </c>
      <c r="E114" s="4"/>
      <c r="F114" s="4"/>
      <c r="G114" s="4"/>
      <c r="H114" s="4"/>
      <c r="I114" s="4"/>
      <c r="J114" s="4"/>
      <c r="K114" s="4"/>
      <c r="L114" s="4"/>
      <c r="M114" s="4"/>
      <c r="N114" s="4">
        <f t="shared" si="9"/>
        <v>0</v>
      </c>
      <c r="O114" s="4">
        <f t="shared" si="10"/>
        <v>41</v>
      </c>
      <c r="Q114">
        <v>-26</v>
      </c>
    </row>
    <row r="115" spans="1:17" x14ac:dyDescent="0.25">
      <c r="A115">
        <v>6000</v>
      </c>
      <c r="B115" t="s">
        <v>108</v>
      </c>
      <c r="C115">
        <v>19951518.420000002</v>
      </c>
      <c r="D115" s="4">
        <v>19952</v>
      </c>
      <c r="E115" s="4"/>
      <c r="F115" s="4"/>
      <c r="G115" s="4"/>
      <c r="H115" s="4"/>
      <c r="I115" s="4"/>
      <c r="J115" s="4"/>
      <c r="K115" s="4"/>
      <c r="L115" s="4"/>
      <c r="M115" s="4"/>
      <c r="N115" s="4">
        <f t="shared" si="9"/>
        <v>0</v>
      </c>
      <c r="O115" s="4">
        <f t="shared" si="10"/>
        <v>19952</v>
      </c>
      <c r="P115">
        <v>2023</v>
      </c>
      <c r="Q115">
        <v>10069</v>
      </c>
    </row>
    <row r="116" spans="1:17" x14ac:dyDescent="0.25">
      <c r="A116">
        <v>6040</v>
      </c>
      <c r="B116" t="s">
        <v>109</v>
      </c>
      <c r="C116">
        <v>433662.84</v>
      </c>
      <c r="D116" s="4">
        <v>434</v>
      </c>
      <c r="E116" s="4"/>
      <c r="F116" s="4"/>
      <c r="G116" s="4"/>
      <c r="H116" s="4"/>
      <c r="I116" s="4"/>
      <c r="J116" s="4"/>
      <c r="K116" s="4"/>
      <c r="L116" s="4"/>
      <c r="M116" s="4"/>
      <c r="N116" s="4">
        <f t="shared" si="9"/>
        <v>0</v>
      </c>
      <c r="O116" s="4">
        <f t="shared" si="10"/>
        <v>434</v>
      </c>
      <c r="P116">
        <v>-26</v>
      </c>
      <c r="Q116">
        <v>207</v>
      </c>
    </row>
    <row r="117" spans="1:17" x14ac:dyDescent="0.25">
      <c r="A117">
        <v>6045</v>
      </c>
      <c r="B117" t="s">
        <v>110</v>
      </c>
      <c r="C117">
        <v>1511257.28</v>
      </c>
      <c r="D117" s="4">
        <v>1511</v>
      </c>
      <c r="E117" s="4"/>
      <c r="F117" s="4"/>
      <c r="G117" s="4"/>
      <c r="H117" s="4"/>
      <c r="I117" s="4"/>
      <c r="J117" s="4"/>
      <c r="K117" s="4"/>
      <c r="L117" s="4"/>
      <c r="M117" s="4"/>
      <c r="N117" s="4">
        <f t="shared" si="9"/>
        <v>0</v>
      </c>
      <c r="O117" s="4">
        <f t="shared" si="10"/>
        <v>1511</v>
      </c>
      <c r="P117">
        <v>199</v>
      </c>
      <c r="Q117">
        <v>761</v>
      </c>
    </row>
    <row r="118" spans="1:17" x14ac:dyDescent="0.25">
      <c r="A118">
        <v>6065</v>
      </c>
      <c r="B118" t="s">
        <v>111</v>
      </c>
      <c r="C118">
        <v>1531683.4</v>
      </c>
      <c r="D118" s="4">
        <v>1532</v>
      </c>
      <c r="E118" s="4"/>
      <c r="F118" s="4"/>
      <c r="G118" s="4"/>
      <c r="H118" s="4"/>
      <c r="I118" s="4"/>
      <c r="J118" s="4"/>
      <c r="K118" s="4"/>
      <c r="L118" s="4"/>
      <c r="M118" s="4"/>
      <c r="N118" s="4">
        <f t="shared" si="9"/>
        <v>0</v>
      </c>
      <c r="O118" s="4">
        <f t="shared" si="10"/>
        <v>1532</v>
      </c>
      <c r="P118">
        <v>101</v>
      </c>
      <c r="Q118">
        <v>768</v>
      </c>
    </row>
    <row r="119" spans="1:17" x14ac:dyDescent="0.25">
      <c r="A119">
        <v>6070</v>
      </c>
      <c r="B119" t="s">
        <v>112</v>
      </c>
      <c r="C119">
        <v>1840867</v>
      </c>
      <c r="D119" s="4">
        <v>1841</v>
      </c>
      <c r="E119" s="4"/>
      <c r="F119" s="4"/>
      <c r="G119" s="4"/>
      <c r="H119" s="4"/>
      <c r="I119" s="4"/>
      <c r="J119" s="4"/>
      <c r="K119" s="4"/>
      <c r="L119" s="4"/>
      <c r="M119" s="4"/>
      <c r="N119" s="4">
        <f t="shared" si="9"/>
        <v>0</v>
      </c>
      <c r="O119" s="4">
        <f t="shared" si="10"/>
        <v>1841</v>
      </c>
      <c r="P119">
        <v>29</v>
      </c>
      <c r="Q119">
        <v>615</v>
      </c>
    </row>
    <row r="120" spans="1:17" x14ac:dyDescent="0.25">
      <c r="A120">
        <v>6080</v>
      </c>
      <c r="B120" t="s">
        <v>113</v>
      </c>
      <c r="C120">
        <v>7414</v>
      </c>
      <c r="D120" s="4">
        <v>7</v>
      </c>
      <c r="E120" s="4"/>
      <c r="F120" s="4"/>
      <c r="G120" s="4"/>
      <c r="H120" s="4"/>
      <c r="I120" s="4"/>
      <c r="J120" s="4"/>
      <c r="K120" s="4"/>
      <c r="L120" s="4"/>
      <c r="M120" s="4"/>
      <c r="N120" s="4">
        <f t="shared" si="9"/>
        <v>0</v>
      </c>
      <c r="O120" s="4">
        <f t="shared" si="10"/>
        <v>7</v>
      </c>
      <c r="Q120">
        <v>2</v>
      </c>
    </row>
    <row r="121" spans="1:17" x14ac:dyDescent="0.25">
      <c r="A121">
        <v>6082</v>
      </c>
      <c r="B121" t="s">
        <v>114</v>
      </c>
      <c r="C121">
        <v>9926.83</v>
      </c>
      <c r="D121" s="4">
        <v>10</v>
      </c>
      <c r="E121" s="4"/>
      <c r="F121" s="4"/>
      <c r="G121" s="4"/>
      <c r="H121" s="4"/>
      <c r="I121" s="4"/>
      <c r="J121" s="4"/>
      <c r="K121" s="4"/>
      <c r="L121" s="4"/>
      <c r="M121" s="4"/>
      <c r="N121" s="4">
        <f t="shared" si="9"/>
        <v>0</v>
      </c>
      <c r="O121" s="4">
        <f t="shared" si="10"/>
        <v>10</v>
      </c>
      <c r="Q121">
        <v>5</v>
      </c>
    </row>
    <row r="122" spans="1:17" x14ac:dyDescent="0.25">
      <c r="A122">
        <v>6083</v>
      </c>
      <c r="B122" t="s">
        <v>115</v>
      </c>
      <c r="C122">
        <v>4616.88</v>
      </c>
      <c r="D122" s="4">
        <v>5</v>
      </c>
      <c r="E122" s="4"/>
      <c r="F122" s="4"/>
      <c r="G122" s="4"/>
      <c r="H122" s="4"/>
      <c r="I122" s="4"/>
      <c r="J122" s="4"/>
      <c r="K122" s="4"/>
      <c r="L122" s="4"/>
      <c r="M122" s="4"/>
      <c r="N122" s="4">
        <f t="shared" si="9"/>
        <v>0</v>
      </c>
      <c r="O122" s="4">
        <f t="shared" si="10"/>
        <v>5</v>
      </c>
      <c r="Q122">
        <v>3</v>
      </c>
    </row>
    <row r="123" spans="1:17" x14ac:dyDescent="0.25">
      <c r="A123">
        <v>6200</v>
      </c>
      <c r="B123" t="s">
        <v>116</v>
      </c>
      <c r="C123">
        <v>2881361.52</v>
      </c>
      <c r="D123" s="4">
        <v>2881</v>
      </c>
      <c r="E123" s="4"/>
      <c r="F123" s="4"/>
      <c r="G123" s="4"/>
      <c r="H123" s="4"/>
      <c r="I123" s="4"/>
      <c r="J123" s="4"/>
      <c r="K123" s="4"/>
      <c r="L123" s="4"/>
      <c r="M123" s="4"/>
      <c r="N123" s="4">
        <f t="shared" si="9"/>
        <v>0</v>
      </c>
      <c r="O123" s="4">
        <f t="shared" si="10"/>
        <v>2881</v>
      </c>
      <c r="P123">
        <v>26</v>
      </c>
      <c r="Q123">
        <v>1577</v>
      </c>
    </row>
    <row r="124" spans="1:17" x14ac:dyDescent="0.25">
      <c r="A124">
        <v>6300</v>
      </c>
      <c r="B124" t="s">
        <v>117</v>
      </c>
      <c r="C124">
        <v>210221.56</v>
      </c>
      <c r="D124" s="4">
        <v>210</v>
      </c>
      <c r="E124" s="4"/>
      <c r="F124" s="4"/>
      <c r="G124" s="4"/>
      <c r="H124" s="4"/>
      <c r="I124" s="4"/>
      <c r="J124" s="4"/>
      <c r="K124" s="4"/>
      <c r="L124" s="4"/>
      <c r="M124" s="4"/>
      <c r="N124" s="4">
        <f t="shared" si="9"/>
        <v>0</v>
      </c>
      <c r="O124" s="4">
        <f t="shared" si="10"/>
        <v>210</v>
      </c>
      <c r="P124">
        <v>-2</v>
      </c>
      <c r="Q124">
        <v>60</v>
      </c>
    </row>
    <row r="125" spans="1:17" x14ac:dyDescent="0.25">
      <c r="A125">
        <v>6305</v>
      </c>
      <c r="B125" t="s">
        <v>118</v>
      </c>
      <c r="C125">
        <v>1767.13</v>
      </c>
      <c r="D125" s="4">
        <v>2</v>
      </c>
      <c r="E125" s="4"/>
      <c r="F125" s="4"/>
      <c r="G125" s="4"/>
      <c r="H125" s="4"/>
      <c r="I125" s="4"/>
      <c r="J125" s="4"/>
      <c r="K125" s="4"/>
      <c r="L125" s="4"/>
      <c r="M125" s="4"/>
      <c r="N125" s="4">
        <f t="shared" si="9"/>
        <v>0</v>
      </c>
      <c r="O125" s="4">
        <f t="shared" si="10"/>
        <v>2</v>
      </c>
      <c r="P125">
        <v>0</v>
      </c>
    </row>
    <row r="126" spans="1:17" x14ac:dyDescent="0.25">
      <c r="A126">
        <v>7100</v>
      </c>
      <c r="B126" t="s">
        <v>119</v>
      </c>
      <c r="C126">
        <v>1604822.4</v>
      </c>
      <c r="D126" s="4">
        <v>1605</v>
      </c>
      <c r="E126" s="4"/>
      <c r="F126" s="4"/>
      <c r="G126" s="4"/>
      <c r="H126" s="4"/>
      <c r="I126" s="4"/>
      <c r="J126" s="4"/>
      <c r="K126" s="4"/>
      <c r="L126" s="4"/>
      <c r="M126" s="4"/>
      <c r="N126" s="4">
        <f t="shared" si="9"/>
        <v>0</v>
      </c>
      <c r="O126" s="4">
        <f t="shared" si="10"/>
        <v>1605</v>
      </c>
      <c r="P126">
        <v>205</v>
      </c>
      <c r="Q126">
        <v>1025</v>
      </c>
    </row>
    <row r="127" spans="1:17" x14ac:dyDescent="0.25">
      <c r="A127">
        <v>7500</v>
      </c>
      <c r="B127" t="s">
        <v>120</v>
      </c>
      <c r="C127">
        <v>198080.6</v>
      </c>
      <c r="D127" s="4">
        <v>198</v>
      </c>
      <c r="E127" s="4"/>
      <c r="F127" s="4"/>
      <c r="G127" s="4"/>
      <c r="H127" s="4"/>
      <c r="I127" s="4"/>
      <c r="J127" s="4"/>
      <c r="K127" s="4"/>
      <c r="L127" s="4"/>
      <c r="M127" s="4"/>
      <c r="N127" s="4">
        <f t="shared" si="9"/>
        <v>0</v>
      </c>
      <c r="O127" s="4">
        <f t="shared" si="10"/>
        <v>198</v>
      </c>
      <c r="P127">
        <v>-1</v>
      </c>
      <c r="Q127">
        <v>119</v>
      </c>
    </row>
    <row r="128" spans="1:17" x14ac:dyDescent="0.25">
      <c r="A128">
        <v>7505</v>
      </c>
      <c r="B128" t="s">
        <v>121</v>
      </c>
      <c r="C128">
        <v>4498706.42</v>
      </c>
      <c r="D128" s="4">
        <v>4499</v>
      </c>
      <c r="E128" s="4"/>
      <c r="F128" s="4"/>
      <c r="G128" s="4"/>
      <c r="H128" s="4"/>
      <c r="I128" s="4"/>
      <c r="J128" s="4"/>
      <c r="K128" s="4"/>
      <c r="L128" s="4"/>
      <c r="M128" s="4"/>
      <c r="N128" s="4">
        <f t="shared" si="9"/>
        <v>0</v>
      </c>
      <c r="O128" s="4">
        <f t="shared" si="10"/>
        <v>4499</v>
      </c>
      <c r="P128">
        <v>400</v>
      </c>
      <c r="Q128">
        <v>1756</v>
      </c>
    </row>
    <row r="129" spans="1:17" x14ac:dyDescent="0.25">
      <c r="A129">
        <v>7510</v>
      </c>
      <c r="B129" t="s">
        <v>122</v>
      </c>
      <c r="C129">
        <v>12900</v>
      </c>
      <c r="D129" s="4">
        <v>13</v>
      </c>
      <c r="E129" s="4"/>
      <c r="F129" s="4"/>
      <c r="G129" s="4"/>
      <c r="H129" s="4"/>
      <c r="I129" s="4"/>
      <c r="J129" s="4"/>
      <c r="K129" s="4"/>
      <c r="L129" s="4"/>
      <c r="M129" s="4"/>
      <c r="N129" s="4">
        <f t="shared" si="9"/>
        <v>0</v>
      </c>
      <c r="O129" s="4">
        <f t="shared" si="10"/>
        <v>13</v>
      </c>
      <c r="Q129">
        <v>12</v>
      </c>
    </row>
    <row r="130" spans="1:17" x14ac:dyDescent="0.25">
      <c r="A130">
        <v>7515</v>
      </c>
      <c r="B130" t="s">
        <v>123</v>
      </c>
      <c r="C130">
        <v>519112.56</v>
      </c>
      <c r="D130" s="4">
        <v>519</v>
      </c>
      <c r="E130" s="4"/>
      <c r="F130" s="4"/>
      <c r="G130" s="4"/>
      <c r="H130" s="4"/>
      <c r="I130" s="4"/>
      <c r="J130" s="4"/>
      <c r="K130" s="4"/>
      <c r="L130" s="4"/>
      <c r="M130" s="4"/>
      <c r="N130" s="4">
        <f t="shared" si="9"/>
        <v>0</v>
      </c>
      <c r="O130" s="4">
        <f t="shared" si="10"/>
        <v>519</v>
      </c>
      <c r="P130">
        <v>32</v>
      </c>
      <c r="Q130">
        <v>185</v>
      </c>
    </row>
    <row r="131" spans="1:17" x14ac:dyDescent="0.25">
      <c r="A131">
        <v>7520</v>
      </c>
      <c r="B131" t="s">
        <v>124</v>
      </c>
      <c r="C131">
        <v>122691.73</v>
      </c>
      <c r="D131" s="4">
        <v>123</v>
      </c>
      <c r="E131" s="4"/>
      <c r="F131" s="4"/>
      <c r="G131" s="4"/>
      <c r="H131" s="4"/>
      <c r="I131" s="4"/>
      <c r="J131" s="4"/>
      <c r="K131" s="4"/>
      <c r="L131" s="4"/>
      <c r="M131" s="4"/>
      <c r="N131" s="4">
        <f t="shared" si="9"/>
        <v>0</v>
      </c>
      <c r="O131" s="4">
        <f t="shared" si="10"/>
        <v>123</v>
      </c>
      <c r="Q131">
        <v>51</v>
      </c>
    </row>
    <row r="132" spans="1:17" x14ac:dyDescent="0.25">
      <c r="A132">
        <v>7525</v>
      </c>
      <c r="B132" t="s">
        <v>125</v>
      </c>
      <c r="C132">
        <v>20687.53</v>
      </c>
      <c r="D132" s="4">
        <v>21</v>
      </c>
      <c r="E132" s="4"/>
      <c r="F132" s="4"/>
      <c r="G132" s="4"/>
      <c r="H132" s="4"/>
      <c r="I132" s="4"/>
      <c r="J132" s="4"/>
      <c r="K132" s="4"/>
      <c r="L132" s="4"/>
      <c r="M132" s="4"/>
      <c r="N132" s="4">
        <f t="shared" si="9"/>
        <v>0</v>
      </c>
      <c r="O132" s="4">
        <f t="shared" si="10"/>
        <v>21</v>
      </c>
      <c r="P132">
        <v>3</v>
      </c>
      <c r="Q132">
        <v>11</v>
      </c>
    </row>
    <row r="133" spans="1:17" x14ac:dyDescent="0.25">
      <c r="A133">
        <v>7530</v>
      </c>
      <c r="B133" t="s">
        <v>126</v>
      </c>
      <c r="C133">
        <v>2086173.82</v>
      </c>
      <c r="D133" s="4">
        <v>2086</v>
      </c>
      <c r="E133" s="4"/>
      <c r="F133" s="4"/>
      <c r="G133" s="4"/>
      <c r="H133" s="4"/>
      <c r="I133" s="4"/>
      <c r="J133" s="4"/>
      <c r="K133" s="4"/>
      <c r="L133" s="4"/>
      <c r="M133" s="4"/>
      <c r="N133" s="4">
        <f t="shared" si="9"/>
        <v>0</v>
      </c>
      <c r="O133" s="4">
        <f t="shared" si="10"/>
        <v>2086</v>
      </c>
      <c r="P133">
        <v>268</v>
      </c>
      <c r="Q133">
        <v>621</v>
      </c>
    </row>
    <row r="134" spans="1:17" x14ac:dyDescent="0.25">
      <c r="A134">
        <v>7531</v>
      </c>
      <c r="B134" t="s">
        <v>127</v>
      </c>
      <c r="C134">
        <v>27416.9</v>
      </c>
      <c r="D134" s="4">
        <v>27</v>
      </c>
      <c r="E134" s="4"/>
      <c r="F134" s="4"/>
      <c r="G134" s="4"/>
      <c r="H134" s="4"/>
      <c r="I134" s="4"/>
      <c r="J134" s="4"/>
      <c r="K134" s="4"/>
      <c r="L134" s="4"/>
      <c r="M134" s="4"/>
      <c r="N134" s="4">
        <f t="shared" si="9"/>
        <v>0</v>
      </c>
      <c r="O134" s="4">
        <f t="shared" si="10"/>
        <v>27</v>
      </c>
    </row>
    <row r="135" spans="1:17" x14ac:dyDescent="0.25">
      <c r="A135">
        <v>7535</v>
      </c>
      <c r="B135" t="s">
        <v>128</v>
      </c>
      <c r="C135">
        <v>10748</v>
      </c>
      <c r="D135" s="4">
        <v>11</v>
      </c>
      <c r="E135" s="4"/>
      <c r="F135" s="4"/>
      <c r="G135" s="4"/>
      <c r="H135" s="4"/>
      <c r="I135" s="4"/>
      <c r="J135" s="4"/>
      <c r="K135" s="4"/>
      <c r="L135" s="4"/>
      <c r="M135" s="4"/>
      <c r="N135" s="4">
        <f t="shared" si="9"/>
        <v>0</v>
      </c>
      <c r="O135" s="4">
        <f t="shared" si="10"/>
        <v>11</v>
      </c>
      <c r="Q135">
        <v>1</v>
      </c>
    </row>
    <row r="136" spans="1:17" x14ac:dyDescent="0.25">
      <c r="A136">
        <v>7540</v>
      </c>
      <c r="B136" t="s">
        <v>129</v>
      </c>
      <c r="C136">
        <v>90547.199999999997</v>
      </c>
      <c r="D136" s="4">
        <v>91</v>
      </c>
      <c r="E136" s="4"/>
      <c r="F136" s="4"/>
      <c r="G136" s="4"/>
      <c r="H136" s="4"/>
      <c r="I136" s="4"/>
      <c r="J136" s="4"/>
      <c r="K136" s="4"/>
      <c r="L136" s="4"/>
      <c r="M136" s="4"/>
      <c r="N136" s="4">
        <f t="shared" si="9"/>
        <v>0</v>
      </c>
      <c r="O136" s="4">
        <f t="shared" si="10"/>
        <v>91</v>
      </c>
      <c r="P136">
        <v>9</v>
      </c>
      <c r="Q136">
        <v>43</v>
      </c>
    </row>
    <row r="137" spans="1:17" x14ac:dyDescent="0.25">
      <c r="A137">
        <v>7545</v>
      </c>
      <c r="B137" t="s">
        <v>130</v>
      </c>
      <c r="C137">
        <v>293</v>
      </c>
      <c r="D137" s="4"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>
        <f t="shared" ref="N137:N160" si="11">SUM(E137:M137)</f>
        <v>0</v>
      </c>
      <c r="O137" s="4">
        <f t="shared" ref="O137:O160" si="12">D137+N137</f>
        <v>0</v>
      </c>
    </row>
    <row r="138" spans="1:17" x14ac:dyDescent="0.25">
      <c r="A138">
        <v>7550</v>
      </c>
      <c r="B138" t="s">
        <v>131</v>
      </c>
      <c r="C138">
        <v>45859.85</v>
      </c>
      <c r="D138" s="4">
        <v>46</v>
      </c>
      <c r="E138" s="4"/>
      <c r="F138" s="4"/>
      <c r="G138" s="4"/>
      <c r="H138" s="4"/>
      <c r="I138" s="4"/>
      <c r="J138" s="4"/>
      <c r="K138" s="4"/>
      <c r="L138" s="4"/>
      <c r="M138" s="4"/>
      <c r="N138" s="4">
        <f t="shared" si="11"/>
        <v>0</v>
      </c>
      <c r="O138" s="4">
        <f t="shared" si="12"/>
        <v>46</v>
      </c>
      <c r="P138">
        <v>6</v>
      </c>
      <c r="Q138">
        <v>39</v>
      </c>
    </row>
    <row r="139" spans="1:17" x14ac:dyDescent="0.25">
      <c r="A139">
        <v>7555</v>
      </c>
      <c r="B139" t="s">
        <v>132</v>
      </c>
      <c r="C139">
        <v>10991.66</v>
      </c>
      <c r="D139" s="4">
        <v>11</v>
      </c>
      <c r="E139" s="4"/>
      <c r="F139" s="4"/>
      <c r="G139" s="4"/>
      <c r="H139" s="4"/>
      <c r="I139" s="4"/>
      <c r="J139" s="4"/>
      <c r="K139" s="4"/>
      <c r="L139" s="4"/>
      <c r="M139" s="4"/>
      <c r="N139" s="4">
        <f t="shared" si="11"/>
        <v>0</v>
      </c>
      <c r="O139" s="4">
        <f t="shared" si="12"/>
        <v>11</v>
      </c>
      <c r="P139">
        <v>112</v>
      </c>
      <c r="Q139">
        <v>1</v>
      </c>
    </row>
    <row r="140" spans="1:17" x14ac:dyDescent="0.25">
      <c r="A140">
        <v>7561</v>
      </c>
      <c r="B140" t="s">
        <v>133</v>
      </c>
      <c r="C140">
        <v>208754.9</v>
      </c>
      <c r="D140" s="4">
        <v>209</v>
      </c>
      <c r="E140" s="4"/>
      <c r="F140" s="4"/>
      <c r="G140" s="4"/>
      <c r="H140" s="4"/>
      <c r="I140" s="4"/>
      <c r="J140" s="4"/>
      <c r="K140" s="4"/>
      <c r="L140" s="4"/>
      <c r="M140" s="4"/>
      <c r="N140" s="4">
        <f t="shared" si="11"/>
        <v>0</v>
      </c>
      <c r="O140" s="4">
        <f t="shared" si="12"/>
        <v>209</v>
      </c>
      <c r="Q140">
        <v>5</v>
      </c>
    </row>
    <row r="141" spans="1:17" x14ac:dyDescent="0.25">
      <c r="A141">
        <v>7800</v>
      </c>
      <c r="B141" t="s">
        <v>134</v>
      </c>
      <c r="C141">
        <v>5992621.9199999999</v>
      </c>
      <c r="D141" s="4">
        <v>5993</v>
      </c>
      <c r="E141" s="4"/>
      <c r="F141" s="4"/>
      <c r="G141" s="4"/>
      <c r="H141" s="4"/>
      <c r="I141" s="4"/>
      <c r="J141" s="4"/>
      <c r="K141" s="4">
        <f>-SUM(K18:K22)</f>
        <v>94</v>
      </c>
      <c r="L141" s="4">
        <v>-60</v>
      </c>
      <c r="M141" s="4"/>
      <c r="N141" s="4">
        <f t="shared" si="11"/>
        <v>34</v>
      </c>
      <c r="O141" s="4">
        <f t="shared" si="12"/>
        <v>6027</v>
      </c>
      <c r="P141">
        <v>401</v>
      </c>
      <c r="Q141">
        <v>3801</v>
      </c>
    </row>
    <row r="142" spans="1:17" x14ac:dyDescent="0.25">
      <c r="A142">
        <v>7805</v>
      </c>
      <c r="B142" t="s">
        <v>135</v>
      </c>
      <c r="C142">
        <v>687.08</v>
      </c>
      <c r="D142" s="4">
        <v>1</v>
      </c>
      <c r="E142" s="4"/>
      <c r="F142" s="4"/>
      <c r="G142" s="4"/>
      <c r="H142" s="4"/>
      <c r="I142" s="4"/>
      <c r="J142" s="4"/>
      <c r="K142" s="4"/>
      <c r="L142" s="4"/>
      <c r="M142" s="4"/>
      <c r="N142" s="4">
        <f t="shared" si="11"/>
        <v>0</v>
      </c>
      <c r="O142" s="4">
        <f t="shared" si="12"/>
        <v>1</v>
      </c>
      <c r="Q142">
        <v>2</v>
      </c>
    </row>
    <row r="143" spans="1:17" x14ac:dyDescent="0.25">
      <c r="A143">
        <v>7810</v>
      </c>
      <c r="B143" t="s">
        <v>136</v>
      </c>
      <c r="C143">
        <v>22.57</v>
      </c>
      <c r="D143" s="4"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>
        <f t="shared" si="11"/>
        <v>0</v>
      </c>
      <c r="O143" s="4">
        <f t="shared" si="12"/>
        <v>0</v>
      </c>
    </row>
    <row r="144" spans="1:17" x14ac:dyDescent="0.25">
      <c r="A144">
        <v>7815</v>
      </c>
      <c r="B144" t="s">
        <v>137</v>
      </c>
      <c r="C144">
        <v>2000</v>
      </c>
      <c r="D144" s="4">
        <v>2</v>
      </c>
      <c r="E144" s="4"/>
      <c r="F144" s="4"/>
      <c r="G144" s="4"/>
      <c r="H144" s="4"/>
      <c r="I144" s="4"/>
      <c r="J144" s="4"/>
      <c r="K144" s="4"/>
      <c r="L144" s="4"/>
      <c r="M144" s="4"/>
      <c r="N144" s="4">
        <f t="shared" si="11"/>
        <v>0</v>
      </c>
      <c r="O144" s="4">
        <f t="shared" si="12"/>
        <v>2</v>
      </c>
      <c r="Q144">
        <v>3</v>
      </c>
    </row>
    <row r="145" spans="1:17" x14ac:dyDescent="0.25">
      <c r="A145">
        <v>7825</v>
      </c>
      <c r="B145" t="s">
        <v>138</v>
      </c>
      <c r="C145">
        <v>2582947.15</v>
      </c>
      <c r="D145" s="4">
        <v>2583</v>
      </c>
      <c r="E145" s="4"/>
      <c r="F145" s="4"/>
      <c r="G145" s="4"/>
      <c r="H145" s="4"/>
      <c r="I145" s="4"/>
      <c r="J145" s="4"/>
      <c r="K145" s="4"/>
      <c r="L145" s="4">
        <v>-498</v>
      </c>
      <c r="M145" s="4"/>
      <c r="N145" s="4">
        <f t="shared" si="11"/>
        <v>-498</v>
      </c>
      <c r="O145" s="4">
        <f t="shared" si="12"/>
        <v>2085</v>
      </c>
      <c r="P145">
        <v>44</v>
      </c>
      <c r="Q145">
        <v>715</v>
      </c>
    </row>
    <row r="146" spans="1:17" x14ac:dyDescent="0.25">
      <c r="A146">
        <v>7830</v>
      </c>
      <c r="B146" t="s">
        <v>139</v>
      </c>
      <c r="C146">
        <v>318217.82</v>
      </c>
      <c r="D146" s="4">
        <v>318</v>
      </c>
      <c r="E146" s="4"/>
      <c r="F146" s="4"/>
      <c r="G146" s="4"/>
      <c r="H146" s="4"/>
      <c r="I146" s="4"/>
      <c r="J146" s="4"/>
      <c r="K146" s="4"/>
      <c r="L146" s="4">
        <v>-37</v>
      </c>
      <c r="M146" s="4"/>
      <c r="N146" s="4">
        <f t="shared" si="11"/>
        <v>-37</v>
      </c>
      <c r="O146" s="4">
        <f t="shared" si="12"/>
        <v>281</v>
      </c>
      <c r="P146">
        <v>4</v>
      </c>
      <c r="Q146">
        <v>307</v>
      </c>
    </row>
    <row r="147" spans="1:17" x14ac:dyDescent="0.25">
      <c r="A147">
        <v>7832</v>
      </c>
      <c r="B147" t="s">
        <v>140</v>
      </c>
      <c r="C147">
        <v>4887.9399999999996</v>
      </c>
      <c r="D147" s="4">
        <v>5</v>
      </c>
      <c r="E147" s="4"/>
      <c r="F147" s="4"/>
      <c r="G147" s="4"/>
      <c r="H147" s="4"/>
      <c r="I147" s="4"/>
      <c r="J147" s="4"/>
      <c r="K147" s="4"/>
      <c r="L147" s="4">
        <v>-3</v>
      </c>
      <c r="M147" s="4"/>
      <c r="N147" s="4">
        <f t="shared" si="11"/>
        <v>-3</v>
      </c>
      <c r="O147" s="4">
        <f t="shared" si="12"/>
        <v>2</v>
      </c>
    </row>
    <row r="148" spans="1:17" x14ac:dyDescent="0.25">
      <c r="A148">
        <v>7835</v>
      </c>
      <c r="B148" t="s">
        <v>141</v>
      </c>
      <c r="C148">
        <v>32439.279999999999</v>
      </c>
      <c r="D148" s="4">
        <v>32</v>
      </c>
      <c r="E148" s="4"/>
      <c r="F148" s="4"/>
      <c r="G148" s="4"/>
      <c r="H148" s="4"/>
      <c r="I148" s="4"/>
      <c r="J148" s="4"/>
      <c r="K148" s="4"/>
      <c r="L148" s="4"/>
      <c r="M148" s="4"/>
      <c r="N148" s="4">
        <f t="shared" si="11"/>
        <v>0</v>
      </c>
      <c r="O148" s="4">
        <f t="shared" si="12"/>
        <v>32</v>
      </c>
      <c r="P148">
        <v>2</v>
      </c>
      <c r="Q148">
        <v>12</v>
      </c>
    </row>
    <row r="149" spans="1:17" x14ac:dyDescent="0.25">
      <c r="A149">
        <v>7840</v>
      </c>
      <c r="B149" t="s">
        <v>142</v>
      </c>
      <c r="C149">
        <v>1166671.6299999999</v>
      </c>
      <c r="D149" s="4">
        <v>1167</v>
      </c>
      <c r="E149" s="4"/>
      <c r="F149" s="4"/>
      <c r="G149" s="4"/>
      <c r="H149" s="4"/>
      <c r="I149" s="4"/>
      <c r="J149" s="4"/>
      <c r="K149" s="4"/>
      <c r="L149" s="4"/>
      <c r="M149" s="4"/>
      <c r="N149" s="4">
        <f t="shared" si="11"/>
        <v>0</v>
      </c>
      <c r="O149" s="4">
        <f t="shared" si="12"/>
        <v>1167</v>
      </c>
      <c r="P149">
        <v>81</v>
      </c>
      <c r="Q149">
        <v>558</v>
      </c>
    </row>
    <row r="150" spans="1:17" x14ac:dyDescent="0.25">
      <c r="A150">
        <v>7845</v>
      </c>
      <c r="B150" t="s">
        <v>143</v>
      </c>
      <c r="C150">
        <v>530003.4</v>
      </c>
      <c r="D150" s="4">
        <v>530</v>
      </c>
      <c r="E150" s="4"/>
      <c r="F150" s="4"/>
      <c r="G150" s="4"/>
      <c r="H150" s="4"/>
      <c r="I150" s="4"/>
      <c r="J150" s="4"/>
      <c r="K150" s="4"/>
      <c r="L150" s="4"/>
      <c r="M150" s="4"/>
      <c r="N150" s="4">
        <f t="shared" si="11"/>
        <v>0</v>
      </c>
      <c r="O150" s="4">
        <f t="shared" si="12"/>
        <v>530</v>
      </c>
      <c r="P150">
        <v>51</v>
      </c>
      <c r="Q150">
        <v>324</v>
      </c>
    </row>
    <row r="151" spans="1:17" x14ac:dyDescent="0.25">
      <c r="A151">
        <v>7846</v>
      </c>
      <c r="B151" t="s">
        <v>144</v>
      </c>
      <c r="C151">
        <v>25575.22</v>
      </c>
      <c r="D151" s="4">
        <v>26</v>
      </c>
      <c r="E151" s="4"/>
      <c r="F151" s="4"/>
      <c r="G151" s="4"/>
      <c r="H151" s="4"/>
      <c r="I151" s="4"/>
      <c r="J151" s="4"/>
      <c r="K151" s="4"/>
      <c r="L151" s="4"/>
      <c r="M151" s="4"/>
      <c r="N151" s="4">
        <f t="shared" si="11"/>
        <v>0</v>
      </c>
      <c r="O151" s="4">
        <f t="shared" si="12"/>
        <v>26</v>
      </c>
      <c r="P151">
        <v>24</v>
      </c>
    </row>
    <row r="152" spans="1:17" x14ac:dyDescent="0.25">
      <c r="A152">
        <v>7847</v>
      </c>
      <c r="B152" t="s">
        <v>145</v>
      </c>
      <c r="C152">
        <v>8933.74</v>
      </c>
      <c r="D152" s="4">
        <v>9</v>
      </c>
      <c r="E152" s="4"/>
      <c r="F152" s="4"/>
      <c r="G152" s="4"/>
      <c r="H152" s="4"/>
      <c r="I152" s="4"/>
      <c r="J152" s="4"/>
      <c r="K152" s="4"/>
      <c r="L152" s="4"/>
      <c r="M152" s="4"/>
      <c r="N152" s="4">
        <f t="shared" si="11"/>
        <v>0</v>
      </c>
      <c r="O152" s="4">
        <f t="shared" si="12"/>
        <v>9</v>
      </c>
      <c r="P152">
        <v>7</v>
      </c>
    </row>
    <row r="153" spans="1:17" x14ac:dyDescent="0.25">
      <c r="A153">
        <v>7850</v>
      </c>
      <c r="B153" t="s">
        <v>146</v>
      </c>
      <c r="C153">
        <v>4380.26</v>
      </c>
      <c r="D153" s="4">
        <v>4</v>
      </c>
      <c r="E153" s="4"/>
      <c r="F153" s="4"/>
      <c r="G153" s="4"/>
      <c r="H153" s="4"/>
      <c r="I153" s="4"/>
      <c r="J153" s="4"/>
      <c r="K153" s="4"/>
      <c r="L153" s="4"/>
      <c r="M153" s="4"/>
      <c r="N153" s="4">
        <f t="shared" si="11"/>
        <v>0</v>
      </c>
      <c r="O153" s="4">
        <f t="shared" si="12"/>
        <v>4</v>
      </c>
      <c r="Q153">
        <v>44</v>
      </c>
    </row>
    <row r="154" spans="1:17" x14ac:dyDescent="0.25">
      <c r="A154">
        <v>7851</v>
      </c>
      <c r="B154" t="s">
        <v>147</v>
      </c>
      <c r="C154">
        <v>3640.35</v>
      </c>
      <c r="D154" s="4">
        <v>4</v>
      </c>
      <c r="E154" s="4"/>
      <c r="F154" s="4"/>
      <c r="G154" s="4"/>
      <c r="H154" s="4"/>
      <c r="I154" s="4"/>
      <c r="J154" s="4"/>
      <c r="K154" s="4"/>
      <c r="L154" s="4"/>
      <c r="M154" s="4"/>
      <c r="N154" s="4">
        <f t="shared" si="11"/>
        <v>0</v>
      </c>
      <c r="O154" s="4">
        <f t="shared" si="12"/>
        <v>4</v>
      </c>
      <c r="P154">
        <v>1</v>
      </c>
    </row>
    <row r="155" spans="1:17" x14ac:dyDescent="0.25">
      <c r="A155">
        <v>7865</v>
      </c>
      <c r="B155" t="s">
        <v>148</v>
      </c>
      <c r="C155">
        <v>5169.03</v>
      </c>
      <c r="D155" s="4">
        <v>5</v>
      </c>
      <c r="E155" s="4"/>
      <c r="F155" s="4"/>
      <c r="G155" s="4"/>
      <c r="H155" s="4"/>
      <c r="I155" s="4"/>
      <c r="J155" s="4"/>
      <c r="K155" s="4"/>
      <c r="L155" s="4"/>
      <c r="M155" s="4"/>
      <c r="N155" s="4">
        <f t="shared" si="11"/>
        <v>0</v>
      </c>
      <c r="O155" s="4">
        <f t="shared" si="12"/>
        <v>5</v>
      </c>
      <c r="Q155">
        <v>10</v>
      </c>
    </row>
    <row r="156" spans="1:17" x14ac:dyDescent="0.25">
      <c r="A156">
        <v>7870</v>
      </c>
      <c r="B156" t="s">
        <v>149</v>
      </c>
      <c r="C156">
        <v>455287.62</v>
      </c>
      <c r="D156" s="4">
        <v>455</v>
      </c>
      <c r="E156" s="4"/>
      <c r="F156" s="4"/>
      <c r="G156" s="4"/>
      <c r="H156" s="4"/>
      <c r="I156" s="4"/>
      <c r="J156" s="4"/>
      <c r="K156" s="4"/>
      <c r="L156" s="4">
        <v>-24</v>
      </c>
      <c r="M156" s="4"/>
      <c r="N156" s="4">
        <f t="shared" si="11"/>
        <v>-24</v>
      </c>
      <c r="O156" s="4">
        <f t="shared" si="12"/>
        <v>431</v>
      </c>
      <c r="P156">
        <v>5</v>
      </c>
      <c r="Q156">
        <v>209</v>
      </c>
    </row>
    <row r="157" spans="1:17" x14ac:dyDescent="0.25">
      <c r="A157">
        <v>7875</v>
      </c>
      <c r="B157" t="s">
        <v>150</v>
      </c>
      <c r="C157">
        <v>21112.79</v>
      </c>
      <c r="D157" s="4">
        <v>21</v>
      </c>
      <c r="E157" s="4"/>
      <c r="F157" s="4"/>
      <c r="G157" s="4"/>
      <c r="H157" s="4"/>
      <c r="I157" s="4"/>
      <c r="J157" s="4"/>
      <c r="K157" s="4"/>
      <c r="L157" s="4">
        <v>0</v>
      </c>
      <c r="M157" s="4"/>
      <c r="N157" s="4">
        <f t="shared" si="11"/>
        <v>0</v>
      </c>
      <c r="O157" s="4">
        <f t="shared" si="12"/>
        <v>21</v>
      </c>
      <c r="P157">
        <v>5</v>
      </c>
    </row>
    <row r="158" spans="1:17" x14ac:dyDescent="0.25">
      <c r="A158">
        <v>7999</v>
      </c>
      <c r="B158" t="s">
        <v>151</v>
      </c>
      <c r="C158">
        <v>-11383.58</v>
      </c>
      <c r="D158" s="4">
        <v>-11</v>
      </c>
      <c r="E158" s="4"/>
      <c r="F158" s="4"/>
      <c r="G158" s="4"/>
      <c r="H158" s="4"/>
      <c r="I158" s="4"/>
      <c r="J158" s="4"/>
      <c r="K158" s="4"/>
      <c r="L158" s="4">
        <v>0</v>
      </c>
      <c r="M158" s="4"/>
      <c r="N158" s="4">
        <f t="shared" si="11"/>
        <v>0</v>
      </c>
      <c r="O158" s="4">
        <f t="shared" si="12"/>
        <v>-11</v>
      </c>
      <c r="Q158">
        <v>-31</v>
      </c>
    </row>
    <row r="159" spans="1:17" x14ac:dyDescent="0.25">
      <c r="A159">
        <v>8000</v>
      </c>
      <c r="B159" t="s">
        <v>152</v>
      </c>
      <c r="C159">
        <v>30186.3</v>
      </c>
      <c r="D159" s="4">
        <v>30</v>
      </c>
      <c r="E159" s="4"/>
      <c r="F159" s="4"/>
      <c r="G159" s="4"/>
      <c r="H159" s="4"/>
      <c r="I159" s="4"/>
      <c r="J159" s="4"/>
      <c r="K159" s="4"/>
      <c r="L159" s="4"/>
      <c r="M159" s="4"/>
      <c r="N159" s="4">
        <f t="shared" si="11"/>
        <v>0</v>
      </c>
      <c r="O159" s="4">
        <f t="shared" si="12"/>
        <v>30</v>
      </c>
      <c r="Q159">
        <v>1</v>
      </c>
    </row>
    <row r="160" spans="1:17" x14ac:dyDescent="0.25">
      <c r="A160">
        <v>8015</v>
      </c>
      <c r="B160" t="s">
        <v>153</v>
      </c>
      <c r="C160">
        <v>1190392.1299999999</v>
      </c>
      <c r="D160" s="4">
        <v>1190</v>
      </c>
      <c r="E160" s="4"/>
      <c r="F160" s="4"/>
      <c r="G160" s="4"/>
      <c r="H160" s="4"/>
      <c r="I160" s="4"/>
      <c r="J160" s="4"/>
      <c r="K160" s="4"/>
      <c r="L160" s="4">
        <v>-8</v>
      </c>
      <c r="M160" s="4"/>
      <c r="N160" s="4">
        <f t="shared" si="11"/>
        <v>-8</v>
      </c>
      <c r="O160" s="4">
        <f t="shared" si="12"/>
        <v>1182</v>
      </c>
      <c r="P160">
        <v>542</v>
      </c>
    </row>
    <row r="161" spans="1:17" x14ac:dyDescent="0.25">
      <c r="A161">
        <v>8020</v>
      </c>
      <c r="B161" t="s">
        <v>253</v>
      </c>
      <c r="C161">
        <v>0</v>
      </c>
      <c r="Q161">
        <v>1</v>
      </c>
    </row>
    <row r="162" spans="1:17" x14ac:dyDescent="0.25">
      <c r="A162">
        <v>8025</v>
      </c>
      <c r="B162" t="s">
        <v>154</v>
      </c>
      <c r="C162">
        <v>605.52</v>
      </c>
      <c r="D162" s="4"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>
        <f t="shared" ref="N162:N197" si="13">SUM(E162:M162)</f>
        <v>0</v>
      </c>
      <c r="O162" s="4">
        <f t="shared" ref="O162:O197" si="14">D162+N162</f>
        <v>1</v>
      </c>
    </row>
    <row r="163" spans="1:17" x14ac:dyDescent="0.25">
      <c r="A163">
        <v>8045</v>
      </c>
      <c r="B163" t="s">
        <v>155</v>
      </c>
      <c r="C163">
        <v>2017.95</v>
      </c>
      <c r="D163" s="4">
        <v>2</v>
      </c>
      <c r="E163" s="4"/>
      <c r="F163" s="4"/>
      <c r="G163" s="4"/>
      <c r="H163" s="4"/>
      <c r="I163" s="4"/>
      <c r="J163" s="4"/>
      <c r="K163" s="4"/>
      <c r="L163" s="4"/>
      <c r="M163" s="4"/>
      <c r="N163" s="4">
        <f t="shared" si="13"/>
        <v>0</v>
      </c>
      <c r="O163" s="4">
        <f t="shared" si="14"/>
        <v>2</v>
      </c>
    </row>
    <row r="164" spans="1:17" x14ac:dyDescent="0.25">
      <c r="A164">
        <v>8046</v>
      </c>
      <c r="B164" t="s">
        <v>156</v>
      </c>
      <c r="C164">
        <v>14075</v>
      </c>
      <c r="D164" s="4">
        <v>14</v>
      </c>
      <c r="E164" s="4"/>
      <c r="F164" s="4"/>
      <c r="G164" s="4"/>
      <c r="H164" s="4"/>
      <c r="I164" s="4"/>
      <c r="J164" s="4"/>
      <c r="K164" s="4"/>
      <c r="L164" s="4"/>
      <c r="M164" s="4"/>
      <c r="N164" s="4">
        <f t="shared" si="13"/>
        <v>0</v>
      </c>
      <c r="O164" s="4">
        <f t="shared" si="14"/>
        <v>14</v>
      </c>
    </row>
    <row r="165" spans="1:17" x14ac:dyDescent="0.25">
      <c r="A165">
        <v>8100</v>
      </c>
      <c r="B165" t="s">
        <v>157</v>
      </c>
      <c r="C165">
        <v>7181.71</v>
      </c>
      <c r="D165" s="4">
        <v>7</v>
      </c>
      <c r="E165" s="4"/>
      <c r="F165" s="4"/>
      <c r="G165" s="4"/>
      <c r="H165" s="4"/>
      <c r="I165" s="4"/>
      <c r="J165" s="4"/>
      <c r="K165" s="4"/>
      <c r="L165" s="4"/>
      <c r="M165" s="4"/>
      <c r="N165" s="4">
        <f t="shared" si="13"/>
        <v>0</v>
      </c>
      <c r="O165" s="4">
        <f t="shared" si="14"/>
        <v>7</v>
      </c>
      <c r="P165">
        <v>2</v>
      </c>
      <c r="Q165">
        <v>2</v>
      </c>
    </row>
    <row r="166" spans="1:17" x14ac:dyDescent="0.25">
      <c r="A166">
        <v>8105</v>
      </c>
      <c r="B166" t="s">
        <v>158</v>
      </c>
      <c r="C166">
        <v>100000</v>
      </c>
      <c r="D166" s="4">
        <v>100</v>
      </c>
      <c r="E166" s="4"/>
      <c r="F166" s="4"/>
      <c r="G166" s="4"/>
      <c r="H166" s="4"/>
      <c r="I166" s="4"/>
      <c r="J166" s="4"/>
      <c r="K166" s="4"/>
      <c r="L166" s="4"/>
      <c r="M166" s="4"/>
      <c r="N166" s="4">
        <f t="shared" si="13"/>
        <v>0</v>
      </c>
      <c r="O166" s="4">
        <f t="shared" si="14"/>
        <v>100</v>
      </c>
      <c r="Q166">
        <v>83</v>
      </c>
    </row>
    <row r="167" spans="1:17" x14ac:dyDescent="0.25">
      <c r="A167">
        <v>8110</v>
      </c>
      <c r="B167" t="s">
        <v>159</v>
      </c>
      <c r="C167">
        <v>25575</v>
      </c>
      <c r="D167" s="4">
        <v>26</v>
      </c>
      <c r="E167" s="4"/>
      <c r="F167" s="4"/>
      <c r="G167" s="4"/>
      <c r="H167" s="4"/>
      <c r="I167" s="4"/>
      <c r="J167" s="4"/>
      <c r="K167" s="4"/>
      <c r="L167" s="4"/>
      <c r="M167" s="4"/>
      <c r="N167" s="4">
        <f t="shared" si="13"/>
        <v>0</v>
      </c>
      <c r="O167" s="4">
        <f t="shared" si="14"/>
        <v>26</v>
      </c>
      <c r="Q167">
        <v>9</v>
      </c>
    </row>
    <row r="168" spans="1:17" x14ac:dyDescent="0.25">
      <c r="A168">
        <v>8115</v>
      </c>
      <c r="B168" t="s">
        <v>160</v>
      </c>
      <c r="C168">
        <v>165237.79999999999</v>
      </c>
      <c r="D168" s="4">
        <v>165</v>
      </c>
      <c r="E168" s="4"/>
      <c r="F168" s="4"/>
      <c r="G168" s="4"/>
      <c r="H168" s="4"/>
      <c r="I168" s="4"/>
      <c r="J168" s="4"/>
      <c r="K168" s="4"/>
      <c r="L168" s="4"/>
      <c r="M168" s="4"/>
      <c r="N168" s="4">
        <f t="shared" si="13"/>
        <v>0</v>
      </c>
      <c r="O168" s="4">
        <f t="shared" si="14"/>
        <v>165</v>
      </c>
      <c r="P168">
        <v>-47</v>
      </c>
      <c r="Q168">
        <v>233</v>
      </c>
    </row>
    <row r="169" spans="1:17" x14ac:dyDescent="0.25">
      <c r="A169">
        <v>8117</v>
      </c>
      <c r="B169" t="s">
        <v>161</v>
      </c>
      <c r="C169">
        <v>1070.47</v>
      </c>
      <c r="D169" s="4">
        <v>1</v>
      </c>
      <c r="E169" s="4"/>
      <c r="F169" s="4"/>
      <c r="G169" s="4"/>
      <c r="H169" s="4"/>
      <c r="I169" s="4"/>
      <c r="J169" s="4"/>
      <c r="K169" s="4"/>
      <c r="L169" s="4"/>
      <c r="M169" s="4"/>
      <c r="N169" s="4">
        <f t="shared" si="13"/>
        <v>0</v>
      </c>
      <c r="O169" s="4">
        <f t="shared" si="14"/>
        <v>1</v>
      </c>
      <c r="Q169">
        <v>13</v>
      </c>
    </row>
    <row r="170" spans="1:17" x14ac:dyDescent="0.25">
      <c r="A170">
        <v>8120</v>
      </c>
      <c r="B170" t="s">
        <v>162</v>
      </c>
      <c r="C170">
        <v>94693.93</v>
      </c>
      <c r="D170" s="4">
        <v>95</v>
      </c>
      <c r="E170" s="4"/>
      <c r="F170" s="4"/>
      <c r="G170" s="4"/>
      <c r="H170" s="4"/>
      <c r="I170" s="4"/>
      <c r="J170" s="4"/>
      <c r="K170" s="4"/>
      <c r="L170" s="4"/>
      <c r="M170" s="4"/>
      <c r="N170" s="4">
        <f t="shared" si="13"/>
        <v>0</v>
      </c>
      <c r="O170" s="4">
        <f t="shared" si="14"/>
        <v>95</v>
      </c>
      <c r="Q170">
        <v>666</v>
      </c>
    </row>
    <row r="171" spans="1:17" x14ac:dyDescent="0.25">
      <c r="A171">
        <v>8125</v>
      </c>
      <c r="B171" t="s">
        <v>163</v>
      </c>
      <c r="C171">
        <v>1400403.89</v>
      </c>
      <c r="D171" s="4">
        <v>1400</v>
      </c>
      <c r="E171" s="4"/>
      <c r="F171" s="4"/>
      <c r="G171" s="4"/>
      <c r="H171" s="4"/>
      <c r="I171" s="4"/>
      <c r="J171" s="4"/>
      <c r="K171" s="4"/>
      <c r="L171" s="4"/>
      <c r="M171" s="4"/>
      <c r="N171" s="4">
        <f t="shared" si="13"/>
        <v>0</v>
      </c>
      <c r="O171" s="4">
        <f t="shared" si="14"/>
        <v>1400</v>
      </c>
      <c r="P171">
        <v>-322</v>
      </c>
      <c r="Q171">
        <v>1183</v>
      </c>
    </row>
    <row r="172" spans="1:17" x14ac:dyDescent="0.25">
      <c r="A172">
        <v>8130</v>
      </c>
      <c r="B172" t="s">
        <v>164</v>
      </c>
      <c r="C172">
        <v>178534.39</v>
      </c>
      <c r="D172" s="4">
        <v>179</v>
      </c>
      <c r="E172" s="4"/>
      <c r="F172" s="4"/>
      <c r="G172" s="4"/>
      <c r="H172" s="4"/>
      <c r="I172" s="4"/>
      <c r="J172" s="4"/>
      <c r="K172" s="4"/>
      <c r="L172" s="4"/>
      <c r="M172" s="4"/>
      <c r="N172" s="4">
        <f t="shared" si="13"/>
        <v>0</v>
      </c>
      <c r="O172" s="4">
        <f t="shared" si="14"/>
        <v>179</v>
      </c>
      <c r="Q172">
        <v>11</v>
      </c>
    </row>
    <row r="173" spans="1:17" x14ac:dyDescent="0.25">
      <c r="A173">
        <v>8132</v>
      </c>
      <c r="B173" t="s">
        <v>165</v>
      </c>
      <c r="C173">
        <v>102</v>
      </c>
      <c r="D173" s="4"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>
        <f t="shared" si="13"/>
        <v>0</v>
      </c>
      <c r="O173" s="4">
        <f t="shared" si="14"/>
        <v>0</v>
      </c>
      <c r="Q173">
        <v>4</v>
      </c>
    </row>
    <row r="174" spans="1:17" x14ac:dyDescent="0.25">
      <c r="A174">
        <v>8135</v>
      </c>
      <c r="B174" t="s">
        <v>166</v>
      </c>
      <c r="C174">
        <v>2655</v>
      </c>
      <c r="D174" s="4">
        <v>3</v>
      </c>
      <c r="E174" s="4"/>
      <c r="F174" s="4"/>
      <c r="G174" s="4"/>
      <c r="H174" s="4"/>
      <c r="I174" s="4"/>
      <c r="J174" s="4"/>
      <c r="K174" s="4"/>
      <c r="L174" s="4"/>
      <c r="M174" s="4"/>
      <c r="N174" s="4">
        <f t="shared" si="13"/>
        <v>0</v>
      </c>
      <c r="O174" s="4">
        <f t="shared" si="14"/>
        <v>3</v>
      </c>
      <c r="Q174">
        <v>41</v>
      </c>
    </row>
    <row r="175" spans="1:17" x14ac:dyDescent="0.25">
      <c r="A175">
        <v>8140</v>
      </c>
      <c r="B175" t="s">
        <v>167</v>
      </c>
      <c r="C175">
        <v>102009.01</v>
      </c>
      <c r="D175" s="4">
        <v>102</v>
      </c>
      <c r="E175" s="4"/>
      <c r="F175" s="4"/>
      <c r="G175" s="4"/>
      <c r="H175" s="4"/>
      <c r="I175" s="4"/>
      <c r="J175" s="4"/>
      <c r="K175" s="4"/>
      <c r="L175" s="4"/>
      <c r="M175" s="4"/>
      <c r="N175" s="4">
        <f t="shared" si="13"/>
        <v>0</v>
      </c>
      <c r="O175" s="4">
        <f t="shared" si="14"/>
        <v>102</v>
      </c>
      <c r="Q175">
        <v>79</v>
      </c>
    </row>
    <row r="176" spans="1:17" x14ac:dyDescent="0.25">
      <c r="A176">
        <v>8150</v>
      </c>
      <c r="B176" t="s">
        <v>168</v>
      </c>
      <c r="C176">
        <v>2667.9</v>
      </c>
      <c r="D176" s="4">
        <v>3</v>
      </c>
      <c r="E176" s="4"/>
      <c r="F176" s="4"/>
      <c r="G176" s="4"/>
      <c r="H176" s="4"/>
      <c r="I176" s="4"/>
      <c r="J176" s="4"/>
      <c r="K176" s="4"/>
      <c r="L176" s="4"/>
      <c r="M176" s="4"/>
      <c r="N176" s="4">
        <f t="shared" si="13"/>
        <v>0</v>
      </c>
      <c r="O176" s="4">
        <f t="shared" si="14"/>
        <v>3</v>
      </c>
      <c r="Q176">
        <v>3</v>
      </c>
    </row>
    <row r="177" spans="1:17" x14ac:dyDescent="0.25">
      <c r="A177">
        <v>8200</v>
      </c>
      <c r="B177" t="s">
        <v>169</v>
      </c>
      <c r="C177">
        <v>160454.1</v>
      </c>
      <c r="D177" s="4">
        <v>160</v>
      </c>
      <c r="E177" s="4"/>
      <c r="F177" s="4"/>
      <c r="G177" s="4"/>
      <c r="H177" s="4"/>
      <c r="I177" s="4"/>
      <c r="J177" s="4"/>
      <c r="K177" s="4"/>
      <c r="L177" s="4"/>
      <c r="M177" s="4"/>
      <c r="N177" s="4">
        <f t="shared" si="13"/>
        <v>0</v>
      </c>
      <c r="O177" s="4">
        <f t="shared" si="14"/>
        <v>160</v>
      </c>
      <c r="P177">
        <v>22</v>
      </c>
      <c r="Q177">
        <v>88</v>
      </c>
    </row>
    <row r="178" spans="1:17" x14ac:dyDescent="0.25">
      <c r="A178">
        <v>8205</v>
      </c>
      <c r="B178" t="s">
        <v>170</v>
      </c>
      <c r="C178">
        <v>122838.52</v>
      </c>
      <c r="D178" s="4">
        <v>123</v>
      </c>
      <c r="E178" s="4"/>
      <c r="F178" s="4"/>
      <c r="G178" s="4"/>
      <c r="H178" s="4"/>
      <c r="I178" s="4"/>
      <c r="J178" s="4"/>
      <c r="K178" s="4"/>
      <c r="L178" s="4"/>
      <c r="M178" s="4"/>
      <c r="N178" s="4">
        <f t="shared" si="13"/>
        <v>0</v>
      </c>
      <c r="O178" s="4">
        <f t="shared" si="14"/>
        <v>123</v>
      </c>
      <c r="P178">
        <v>19</v>
      </c>
      <c r="Q178">
        <v>42</v>
      </c>
    </row>
    <row r="179" spans="1:17" x14ac:dyDescent="0.25">
      <c r="A179">
        <v>8300</v>
      </c>
      <c r="B179" t="s">
        <v>171</v>
      </c>
      <c r="C179">
        <v>410621.07</v>
      </c>
      <c r="D179" s="4">
        <v>411</v>
      </c>
      <c r="E179" s="4"/>
      <c r="F179" s="4"/>
      <c r="G179" s="4"/>
      <c r="H179" s="4"/>
      <c r="I179" s="4"/>
      <c r="J179" s="4"/>
      <c r="K179" s="4"/>
      <c r="L179" s="4">
        <v>-18</v>
      </c>
      <c r="M179" s="4"/>
      <c r="N179" s="4">
        <f t="shared" si="13"/>
        <v>-18</v>
      </c>
      <c r="O179" s="4">
        <f t="shared" si="14"/>
        <v>393</v>
      </c>
      <c r="P179">
        <v>6</v>
      </c>
      <c r="Q179">
        <v>252</v>
      </c>
    </row>
    <row r="180" spans="1:17" x14ac:dyDescent="0.25">
      <c r="A180">
        <v>8301</v>
      </c>
      <c r="B180" t="s">
        <v>172</v>
      </c>
      <c r="C180">
        <v>169506.13</v>
      </c>
      <c r="D180" s="4">
        <v>170</v>
      </c>
      <c r="E180" s="4"/>
      <c r="F180" s="4"/>
      <c r="G180" s="4"/>
      <c r="H180" s="4"/>
      <c r="I180" s="4"/>
      <c r="J180" s="4"/>
      <c r="K180" s="4"/>
      <c r="L180" s="4"/>
      <c r="M180" s="4"/>
      <c r="N180" s="4">
        <f t="shared" si="13"/>
        <v>0</v>
      </c>
      <c r="O180" s="4">
        <f t="shared" si="14"/>
        <v>170</v>
      </c>
      <c r="P180">
        <v>7</v>
      </c>
      <c r="Q180">
        <v>59</v>
      </c>
    </row>
    <row r="181" spans="1:17" x14ac:dyDescent="0.25">
      <c r="A181">
        <v>8304</v>
      </c>
      <c r="B181" t="s">
        <v>173</v>
      </c>
      <c r="C181">
        <v>124895.69</v>
      </c>
      <c r="D181" s="4">
        <v>125</v>
      </c>
      <c r="E181" s="4"/>
      <c r="F181" s="4"/>
      <c r="G181" s="4"/>
      <c r="H181" s="4"/>
      <c r="I181" s="4"/>
      <c r="J181" s="4"/>
      <c r="K181" s="4"/>
      <c r="L181" s="4">
        <v>-13</v>
      </c>
      <c r="M181" s="4"/>
      <c r="N181" s="4">
        <f t="shared" si="13"/>
        <v>-13</v>
      </c>
      <c r="O181" s="4">
        <f t="shared" si="14"/>
        <v>112</v>
      </c>
      <c r="Q181">
        <v>1</v>
      </c>
    </row>
    <row r="182" spans="1:17" x14ac:dyDescent="0.25">
      <c r="A182">
        <v>8305</v>
      </c>
      <c r="B182" t="s">
        <v>174</v>
      </c>
      <c r="C182">
        <v>442355.99</v>
      </c>
      <c r="D182" s="4">
        <v>442</v>
      </c>
      <c r="E182" s="4"/>
      <c r="F182" s="4"/>
      <c r="G182" s="4"/>
      <c r="H182" s="4"/>
      <c r="I182" s="4"/>
      <c r="J182" s="4"/>
      <c r="K182" s="4"/>
      <c r="L182" s="4"/>
      <c r="M182" s="4"/>
      <c r="N182" s="4">
        <f t="shared" si="13"/>
        <v>0</v>
      </c>
      <c r="O182" s="4">
        <f t="shared" si="14"/>
        <v>442</v>
      </c>
      <c r="P182">
        <v>15</v>
      </c>
      <c r="Q182">
        <v>200</v>
      </c>
    </row>
    <row r="183" spans="1:17" x14ac:dyDescent="0.25">
      <c r="A183">
        <v>8307</v>
      </c>
      <c r="B183" t="s">
        <v>175</v>
      </c>
      <c r="C183">
        <v>2152.02</v>
      </c>
      <c r="D183" s="4">
        <v>2</v>
      </c>
      <c r="E183" s="4"/>
      <c r="F183" s="4"/>
      <c r="G183" s="4"/>
      <c r="H183" s="4"/>
      <c r="I183" s="4"/>
      <c r="J183" s="4"/>
      <c r="K183" s="4"/>
      <c r="L183" s="4"/>
      <c r="M183" s="4"/>
      <c r="N183" s="4">
        <f t="shared" si="13"/>
        <v>0</v>
      </c>
      <c r="O183" s="4">
        <f t="shared" si="14"/>
        <v>2</v>
      </c>
      <c r="Q183">
        <v>2</v>
      </c>
    </row>
    <row r="184" spans="1:17" x14ac:dyDescent="0.25">
      <c r="A184">
        <v>8310</v>
      </c>
      <c r="B184" t="s">
        <v>176</v>
      </c>
      <c r="C184">
        <v>127514.49</v>
      </c>
      <c r="D184" s="4">
        <v>128</v>
      </c>
      <c r="E184" s="4"/>
      <c r="F184" s="4"/>
      <c r="G184" s="4"/>
      <c r="H184" s="4"/>
      <c r="I184" s="4"/>
      <c r="J184" s="4"/>
      <c r="K184" s="4"/>
      <c r="L184" s="4"/>
      <c r="M184" s="4"/>
      <c r="N184" s="4">
        <f t="shared" si="13"/>
        <v>0</v>
      </c>
      <c r="O184" s="4">
        <f t="shared" si="14"/>
        <v>128</v>
      </c>
      <c r="P184">
        <v>2</v>
      </c>
      <c r="Q184">
        <v>77</v>
      </c>
    </row>
    <row r="185" spans="1:17" x14ac:dyDescent="0.25">
      <c r="A185">
        <v>8315</v>
      </c>
      <c r="B185" t="s">
        <v>177</v>
      </c>
      <c r="C185">
        <v>128791.41</v>
      </c>
      <c r="D185" s="4">
        <v>129</v>
      </c>
      <c r="E185" s="4"/>
      <c r="F185" s="4"/>
      <c r="G185" s="4"/>
      <c r="H185" s="4"/>
      <c r="I185" s="4"/>
      <c r="J185" s="4"/>
      <c r="K185" s="4"/>
      <c r="L185" s="4"/>
      <c r="M185" s="4"/>
      <c r="N185" s="4">
        <f t="shared" si="13"/>
        <v>0</v>
      </c>
      <c r="O185" s="4">
        <f t="shared" si="14"/>
        <v>129</v>
      </c>
      <c r="P185">
        <v>2</v>
      </c>
      <c r="Q185">
        <v>109</v>
      </c>
    </row>
    <row r="186" spans="1:17" x14ac:dyDescent="0.25">
      <c r="A186">
        <v>8401</v>
      </c>
      <c r="B186" t="s">
        <v>178</v>
      </c>
      <c r="C186">
        <v>23889.69</v>
      </c>
      <c r="D186" s="4">
        <v>24</v>
      </c>
      <c r="E186" s="4"/>
      <c r="F186" s="4"/>
      <c r="G186" s="4"/>
      <c r="H186" s="4"/>
      <c r="I186" s="4"/>
      <c r="J186" s="4"/>
      <c r="K186" s="4"/>
      <c r="L186" s="4"/>
      <c r="M186" s="4"/>
      <c r="N186" s="4">
        <f t="shared" si="13"/>
        <v>0</v>
      </c>
      <c r="O186" s="4">
        <f t="shared" si="14"/>
        <v>24</v>
      </c>
      <c r="P186">
        <v>8</v>
      </c>
    </row>
    <row r="187" spans="1:17" x14ac:dyDescent="0.25">
      <c r="A187">
        <v>8405</v>
      </c>
      <c r="B187" t="s">
        <v>179</v>
      </c>
      <c r="C187">
        <v>187292.39</v>
      </c>
      <c r="D187" s="4">
        <v>187</v>
      </c>
      <c r="E187" s="4"/>
      <c r="F187" s="4"/>
      <c r="G187" s="4"/>
      <c r="H187" s="4"/>
      <c r="I187" s="4"/>
      <c r="J187" s="4"/>
      <c r="K187" s="4"/>
      <c r="L187" s="4"/>
      <c r="M187" s="4"/>
      <c r="N187" s="4">
        <f t="shared" si="13"/>
        <v>0</v>
      </c>
      <c r="O187" s="4">
        <f t="shared" si="14"/>
        <v>187</v>
      </c>
      <c r="P187">
        <v>11</v>
      </c>
      <c r="Q187">
        <v>130</v>
      </c>
    </row>
    <row r="188" spans="1:17" x14ac:dyDescent="0.25">
      <c r="A188">
        <v>8406</v>
      </c>
      <c r="B188" t="s">
        <v>180</v>
      </c>
      <c r="C188">
        <v>66547.429999999993</v>
      </c>
      <c r="D188" s="4">
        <v>67</v>
      </c>
      <c r="E188" s="4"/>
      <c r="F188" s="4"/>
      <c r="G188" s="4"/>
      <c r="H188" s="4"/>
      <c r="I188" s="4"/>
      <c r="J188" s="4"/>
      <c r="K188" s="4"/>
      <c r="L188" s="4">
        <v>-1</v>
      </c>
      <c r="M188" s="4"/>
      <c r="N188" s="4">
        <f t="shared" si="13"/>
        <v>-1</v>
      </c>
      <c r="O188" s="4">
        <f t="shared" si="14"/>
        <v>66</v>
      </c>
      <c r="P188">
        <v>10</v>
      </c>
      <c r="Q188">
        <v>9</v>
      </c>
    </row>
    <row r="189" spans="1:17" x14ac:dyDescent="0.25">
      <c r="A189">
        <v>8410</v>
      </c>
      <c r="B189" t="s">
        <v>181</v>
      </c>
      <c r="C189">
        <v>103009.53</v>
      </c>
      <c r="D189" s="4">
        <v>103</v>
      </c>
      <c r="E189" s="4"/>
      <c r="F189" s="4"/>
      <c r="G189" s="4"/>
      <c r="H189" s="4"/>
      <c r="I189" s="4"/>
      <c r="J189" s="4"/>
      <c r="K189" s="4"/>
      <c r="L189" s="4"/>
      <c r="M189" s="4"/>
      <c r="N189" s="4">
        <f t="shared" si="13"/>
        <v>0</v>
      </c>
      <c r="O189" s="4">
        <f t="shared" si="14"/>
        <v>103</v>
      </c>
      <c r="P189">
        <v>1</v>
      </c>
      <c r="Q189">
        <v>39</v>
      </c>
    </row>
    <row r="190" spans="1:17" x14ac:dyDescent="0.25">
      <c r="A190">
        <v>8415</v>
      </c>
      <c r="B190" t="s">
        <v>182</v>
      </c>
      <c r="C190">
        <v>102962.39</v>
      </c>
      <c r="D190" s="4">
        <v>103</v>
      </c>
      <c r="E190" s="4"/>
      <c r="F190" s="4"/>
      <c r="G190" s="4"/>
      <c r="H190" s="4"/>
      <c r="I190" s="4"/>
      <c r="J190" s="4"/>
      <c r="K190" s="4"/>
      <c r="L190" s="4"/>
      <c r="M190" s="4"/>
      <c r="N190" s="4">
        <f t="shared" si="13"/>
        <v>0</v>
      </c>
      <c r="O190" s="4">
        <f t="shared" si="14"/>
        <v>103</v>
      </c>
      <c r="P190">
        <v>1</v>
      </c>
      <c r="Q190">
        <v>68</v>
      </c>
    </row>
    <row r="191" spans="1:17" x14ac:dyDescent="0.25">
      <c r="A191">
        <v>8420</v>
      </c>
      <c r="B191" t="s">
        <v>183</v>
      </c>
      <c r="C191">
        <v>74764.41</v>
      </c>
      <c r="D191" s="4">
        <v>75</v>
      </c>
      <c r="E191" s="4"/>
      <c r="F191" s="4"/>
      <c r="G191" s="4"/>
      <c r="H191" s="4"/>
      <c r="I191" s="4"/>
      <c r="J191" s="4"/>
      <c r="K191" s="4"/>
      <c r="L191" s="4"/>
      <c r="M191" s="4"/>
      <c r="N191" s="4">
        <f t="shared" si="13"/>
        <v>0</v>
      </c>
      <c r="O191" s="4">
        <f t="shared" si="14"/>
        <v>75</v>
      </c>
      <c r="P191">
        <v>2</v>
      </c>
      <c r="Q191">
        <v>62</v>
      </c>
    </row>
    <row r="192" spans="1:17" x14ac:dyDescent="0.25">
      <c r="A192">
        <v>8425</v>
      </c>
      <c r="B192" t="s">
        <v>184</v>
      </c>
      <c r="C192">
        <v>190077.09</v>
      </c>
      <c r="D192" s="4">
        <v>190</v>
      </c>
      <c r="E192" s="4"/>
      <c r="F192" s="4"/>
      <c r="G192" s="4"/>
      <c r="H192" s="4"/>
      <c r="I192" s="4"/>
      <c r="J192" s="4"/>
      <c r="K192" s="4"/>
      <c r="L192" s="4"/>
      <c r="M192" s="4"/>
      <c r="N192" s="4">
        <f t="shared" si="13"/>
        <v>0</v>
      </c>
      <c r="O192" s="4">
        <f t="shared" si="14"/>
        <v>190</v>
      </c>
      <c r="P192">
        <v>3</v>
      </c>
      <c r="Q192">
        <v>37</v>
      </c>
    </row>
    <row r="193" spans="1:17" x14ac:dyDescent="0.25">
      <c r="A193">
        <v>8430</v>
      </c>
      <c r="B193" t="s">
        <v>185</v>
      </c>
      <c r="C193">
        <v>79387.929999999993</v>
      </c>
      <c r="D193" s="4">
        <v>79</v>
      </c>
      <c r="E193" s="4"/>
      <c r="F193" s="4"/>
      <c r="G193" s="4"/>
      <c r="H193" s="4"/>
      <c r="I193" s="4"/>
      <c r="J193" s="4"/>
      <c r="K193" s="4"/>
      <c r="L193" s="4"/>
      <c r="M193" s="4"/>
      <c r="N193" s="4">
        <f t="shared" si="13"/>
        <v>0</v>
      </c>
      <c r="O193" s="4">
        <f t="shared" si="14"/>
        <v>79</v>
      </c>
      <c r="Q193">
        <v>23</v>
      </c>
    </row>
    <row r="194" spans="1:17" x14ac:dyDescent="0.25">
      <c r="A194">
        <v>8500</v>
      </c>
      <c r="B194" t="s">
        <v>186</v>
      </c>
      <c r="C194">
        <v>62920.41</v>
      </c>
      <c r="D194" s="4">
        <v>63</v>
      </c>
      <c r="E194" s="4"/>
      <c r="F194" s="4"/>
      <c r="G194" s="4"/>
      <c r="H194" s="4"/>
      <c r="I194" s="4"/>
      <c r="J194" s="4"/>
      <c r="K194" s="4"/>
      <c r="L194" s="4"/>
      <c r="M194" s="4"/>
      <c r="N194" s="4">
        <f t="shared" si="13"/>
        <v>0</v>
      </c>
      <c r="O194" s="4">
        <f t="shared" si="14"/>
        <v>63</v>
      </c>
      <c r="Q194">
        <v>66</v>
      </c>
    </row>
    <row r="195" spans="1:17" x14ac:dyDescent="0.25">
      <c r="A195">
        <v>8505</v>
      </c>
      <c r="B195" t="s">
        <v>187</v>
      </c>
      <c r="C195">
        <v>795440.54</v>
      </c>
      <c r="D195" s="4">
        <v>795</v>
      </c>
      <c r="E195" s="4"/>
      <c r="F195" s="4"/>
      <c r="G195" s="4"/>
      <c r="H195" s="4"/>
      <c r="I195" s="4"/>
      <c r="J195" s="4"/>
      <c r="K195" s="4"/>
      <c r="L195" s="4"/>
      <c r="M195" s="4"/>
      <c r="N195" s="4">
        <f t="shared" si="13"/>
        <v>0</v>
      </c>
      <c r="O195" s="4">
        <f t="shared" si="14"/>
        <v>795</v>
      </c>
      <c r="P195">
        <v>8</v>
      </c>
      <c r="Q195">
        <v>300</v>
      </c>
    </row>
    <row r="196" spans="1:17" x14ac:dyDescent="0.25">
      <c r="A196">
        <v>8550</v>
      </c>
      <c r="B196" t="s">
        <v>188</v>
      </c>
      <c r="C196">
        <v>37138.910000000003</v>
      </c>
      <c r="D196" s="4">
        <v>37</v>
      </c>
      <c r="E196" s="4"/>
      <c r="F196" s="4"/>
      <c r="G196" s="4"/>
      <c r="H196" s="4"/>
      <c r="I196" s="4"/>
      <c r="J196" s="4"/>
      <c r="K196" s="4"/>
      <c r="L196" s="4"/>
      <c r="M196" s="4"/>
      <c r="N196" s="4">
        <f t="shared" si="13"/>
        <v>0</v>
      </c>
      <c r="O196" s="4">
        <f t="shared" si="14"/>
        <v>37</v>
      </c>
      <c r="P196">
        <v>0</v>
      </c>
      <c r="Q196">
        <v>12</v>
      </c>
    </row>
    <row r="197" spans="1:17" x14ac:dyDescent="0.25">
      <c r="A197">
        <v>8600</v>
      </c>
      <c r="B197" t="s">
        <v>189</v>
      </c>
      <c r="C197">
        <v>139613.20000000001</v>
      </c>
      <c r="D197" s="4">
        <v>140</v>
      </c>
      <c r="E197" s="4"/>
      <c r="F197" s="4"/>
      <c r="G197" s="4"/>
      <c r="H197" s="4"/>
      <c r="I197" s="4">
        <f>-I34</f>
        <v>44</v>
      </c>
      <c r="J197" s="4"/>
      <c r="K197" s="4"/>
      <c r="L197" s="4"/>
      <c r="M197" s="4"/>
      <c r="N197" s="4">
        <f t="shared" si="13"/>
        <v>44</v>
      </c>
      <c r="O197" s="4">
        <f t="shared" si="14"/>
        <v>184</v>
      </c>
      <c r="P197">
        <v>40</v>
      </c>
      <c r="Q197">
        <v>139</v>
      </c>
    </row>
    <row r="198" spans="1:17" x14ac:dyDescent="0.25">
      <c r="A198">
        <v>8601</v>
      </c>
      <c r="B198" t="s">
        <v>254</v>
      </c>
      <c r="C198">
        <v>0</v>
      </c>
      <c r="Q198">
        <v>217</v>
      </c>
    </row>
    <row r="199" spans="1:17" x14ac:dyDescent="0.25">
      <c r="A199">
        <v>8605</v>
      </c>
      <c r="B199" t="s">
        <v>190</v>
      </c>
      <c r="C199">
        <v>30647.55</v>
      </c>
      <c r="D199" s="4">
        <v>31</v>
      </c>
      <c r="E199" s="4"/>
      <c r="F199" s="4"/>
      <c r="G199" s="4"/>
      <c r="H199" s="4"/>
      <c r="I199" s="4"/>
      <c r="J199" s="4"/>
      <c r="K199" s="4"/>
      <c r="L199" s="4"/>
      <c r="M199" s="4"/>
      <c r="N199" s="4">
        <f t="shared" ref="N199:N223" si="15">SUM(E199:M199)</f>
        <v>0</v>
      </c>
      <c r="O199" s="4">
        <f t="shared" ref="O199:O223" si="16">D199+N199</f>
        <v>31</v>
      </c>
      <c r="P199">
        <v>1</v>
      </c>
      <c r="Q199">
        <v>16</v>
      </c>
    </row>
    <row r="200" spans="1:17" x14ac:dyDescent="0.25">
      <c r="A200">
        <v>8607</v>
      </c>
      <c r="B200" t="s">
        <v>191</v>
      </c>
      <c r="C200">
        <v>45559.4</v>
      </c>
      <c r="D200" s="4">
        <v>46</v>
      </c>
      <c r="E200" s="4"/>
      <c r="F200" s="4"/>
      <c r="G200" s="4"/>
      <c r="H200" s="4"/>
      <c r="I200" s="4"/>
      <c r="J200" s="4"/>
      <c r="K200" s="4"/>
      <c r="L200" s="4"/>
      <c r="M200" s="4"/>
      <c r="N200" s="4">
        <f t="shared" si="15"/>
        <v>0</v>
      </c>
      <c r="O200" s="4">
        <f t="shared" si="16"/>
        <v>46</v>
      </c>
      <c r="P200">
        <v>2</v>
      </c>
      <c r="Q200">
        <v>20</v>
      </c>
    </row>
    <row r="201" spans="1:17" x14ac:dyDescent="0.25">
      <c r="A201">
        <v>8610</v>
      </c>
      <c r="B201" t="s">
        <v>192</v>
      </c>
      <c r="C201">
        <v>6648.91</v>
      </c>
      <c r="D201" s="4">
        <v>7</v>
      </c>
      <c r="E201" s="4"/>
      <c r="F201" s="4"/>
      <c r="G201" s="4"/>
      <c r="H201" s="4"/>
      <c r="I201" s="4"/>
      <c r="J201" s="4"/>
      <c r="K201" s="4"/>
      <c r="L201" s="4"/>
      <c r="M201" s="4"/>
      <c r="N201" s="4">
        <f t="shared" si="15"/>
        <v>0</v>
      </c>
      <c r="O201" s="4">
        <f t="shared" si="16"/>
        <v>7</v>
      </c>
      <c r="P201">
        <v>0</v>
      </c>
      <c r="Q201">
        <v>4</v>
      </c>
    </row>
    <row r="202" spans="1:17" x14ac:dyDescent="0.25">
      <c r="A202">
        <v>8615</v>
      </c>
      <c r="B202" t="s">
        <v>193</v>
      </c>
      <c r="C202">
        <v>4900.01</v>
      </c>
      <c r="D202" s="4">
        <v>5</v>
      </c>
      <c r="E202" s="4"/>
      <c r="F202" s="4"/>
      <c r="G202" s="4"/>
      <c r="H202" s="4"/>
      <c r="I202" s="4"/>
      <c r="J202" s="4"/>
      <c r="K202" s="4"/>
      <c r="L202" s="4"/>
      <c r="M202" s="4"/>
      <c r="N202" s="4">
        <f t="shared" si="15"/>
        <v>0</v>
      </c>
      <c r="O202" s="4">
        <f t="shared" si="16"/>
        <v>5</v>
      </c>
      <c r="Q202">
        <v>1</v>
      </c>
    </row>
    <row r="203" spans="1:17" x14ac:dyDescent="0.25">
      <c r="A203">
        <v>8710</v>
      </c>
      <c r="B203" t="s">
        <v>194</v>
      </c>
      <c r="C203">
        <v>38308.519999999997</v>
      </c>
      <c r="D203" s="4">
        <v>38</v>
      </c>
      <c r="E203" s="4"/>
      <c r="F203" s="4"/>
      <c r="G203" s="4"/>
      <c r="H203" s="4"/>
      <c r="I203" s="4"/>
      <c r="J203" s="4"/>
      <c r="K203" s="4"/>
      <c r="L203" s="4"/>
      <c r="M203" s="4"/>
      <c r="N203" s="4">
        <f t="shared" si="15"/>
        <v>0</v>
      </c>
      <c r="O203" s="4">
        <f t="shared" si="16"/>
        <v>38</v>
      </c>
      <c r="P203">
        <v>0</v>
      </c>
      <c r="Q203">
        <v>23</v>
      </c>
    </row>
    <row r="204" spans="1:17" x14ac:dyDescent="0.25">
      <c r="A204">
        <v>8715</v>
      </c>
      <c r="B204" t="s">
        <v>195</v>
      </c>
      <c r="C204">
        <v>1000</v>
      </c>
      <c r="D204" s="4">
        <v>1</v>
      </c>
      <c r="E204" s="4"/>
      <c r="F204" s="4"/>
      <c r="G204" s="4"/>
      <c r="H204" s="4"/>
      <c r="I204" s="4"/>
      <c r="J204" s="4"/>
      <c r="K204" s="4"/>
      <c r="L204" s="4"/>
      <c r="M204" s="4"/>
      <c r="N204" s="4">
        <f t="shared" si="15"/>
        <v>0</v>
      </c>
      <c r="O204" s="4">
        <f t="shared" si="16"/>
        <v>1</v>
      </c>
      <c r="Q204">
        <v>1</v>
      </c>
    </row>
    <row r="205" spans="1:17" x14ac:dyDescent="0.25">
      <c r="A205">
        <v>8720</v>
      </c>
      <c r="B205" t="s">
        <v>196</v>
      </c>
      <c r="C205">
        <v>65617.38</v>
      </c>
      <c r="D205" s="4">
        <v>66</v>
      </c>
      <c r="E205" s="4"/>
      <c r="F205" s="4"/>
      <c r="G205" s="4"/>
      <c r="H205" s="4"/>
      <c r="I205" s="4"/>
      <c r="J205" s="4"/>
      <c r="K205" s="4"/>
      <c r="L205" s="4">
        <v>3</v>
      </c>
      <c r="M205" s="4"/>
      <c r="N205" s="4">
        <f t="shared" si="15"/>
        <v>3</v>
      </c>
      <c r="O205" s="4">
        <f t="shared" si="16"/>
        <v>69</v>
      </c>
      <c r="P205">
        <v>6</v>
      </c>
      <c r="Q205">
        <v>51</v>
      </c>
    </row>
    <row r="206" spans="1:17" x14ac:dyDescent="0.25">
      <c r="A206">
        <v>8725</v>
      </c>
      <c r="B206" t="s">
        <v>197</v>
      </c>
      <c r="C206">
        <v>480034.01</v>
      </c>
      <c r="D206" s="4">
        <v>480</v>
      </c>
      <c r="E206" s="4"/>
      <c r="F206" s="4"/>
      <c r="G206" s="4"/>
      <c r="H206" s="4"/>
      <c r="I206" s="4"/>
      <c r="J206" s="4"/>
      <c r="K206" s="4"/>
      <c r="L206" s="4">
        <v>-11</v>
      </c>
      <c r="M206" s="4"/>
      <c r="N206" s="4">
        <f t="shared" si="15"/>
        <v>-11</v>
      </c>
      <c r="O206" s="4">
        <f t="shared" si="16"/>
        <v>469</v>
      </c>
      <c r="P206">
        <v>133</v>
      </c>
      <c r="Q206">
        <v>151</v>
      </c>
    </row>
    <row r="207" spans="1:17" x14ac:dyDescent="0.25">
      <c r="A207">
        <v>8800</v>
      </c>
      <c r="B207" t="s">
        <v>198</v>
      </c>
      <c r="C207">
        <v>861055.33</v>
      </c>
      <c r="D207" s="4">
        <v>861</v>
      </c>
      <c r="E207" s="4"/>
      <c r="F207" s="4"/>
      <c r="G207" s="4"/>
      <c r="H207" s="4"/>
      <c r="I207" s="4"/>
      <c r="J207" s="4"/>
      <c r="K207" s="4"/>
      <c r="L207" s="4">
        <v>-77</v>
      </c>
      <c r="M207" s="4"/>
      <c r="N207" s="4">
        <f t="shared" si="15"/>
        <v>-77</v>
      </c>
      <c r="O207" s="4">
        <f t="shared" si="16"/>
        <v>784</v>
      </c>
      <c r="P207">
        <v>49</v>
      </c>
      <c r="Q207">
        <v>77</v>
      </c>
    </row>
    <row r="208" spans="1:17" x14ac:dyDescent="0.25">
      <c r="A208">
        <v>8805</v>
      </c>
      <c r="B208" t="s">
        <v>199</v>
      </c>
      <c r="C208">
        <v>42976.25</v>
      </c>
      <c r="D208" s="4">
        <v>43</v>
      </c>
      <c r="E208" s="4"/>
      <c r="F208" s="4"/>
      <c r="G208" s="4"/>
      <c r="H208" s="4"/>
      <c r="I208" s="4"/>
      <c r="J208" s="4"/>
      <c r="K208" s="4"/>
      <c r="L208" s="4">
        <v>-1</v>
      </c>
      <c r="M208" s="4"/>
      <c r="N208" s="4">
        <f t="shared" si="15"/>
        <v>-1</v>
      </c>
      <c r="O208" s="4">
        <f t="shared" si="16"/>
        <v>42</v>
      </c>
      <c r="P208">
        <v>0</v>
      </c>
      <c r="Q208">
        <v>7</v>
      </c>
    </row>
    <row r="209" spans="1:17" x14ac:dyDescent="0.25">
      <c r="A209">
        <v>8810</v>
      </c>
      <c r="B209" t="s">
        <v>200</v>
      </c>
      <c r="C209">
        <v>693.6</v>
      </c>
      <c r="D209" s="4">
        <v>1</v>
      </c>
      <c r="E209" s="4"/>
      <c r="F209" s="4"/>
      <c r="G209" s="4"/>
      <c r="H209" s="4"/>
      <c r="I209" s="4"/>
      <c r="J209" s="4"/>
      <c r="K209" s="4"/>
      <c r="L209" s="4">
        <v>-1</v>
      </c>
      <c r="M209" s="4"/>
      <c r="N209" s="4">
        <f t="shared" si="15"/>
        <v>-1</v>
      </c>
      <c r="O209" s="4">
        <f t="shared" si="16"/>
        <v>0</v>
      </c>
      <c r="Q209">
        <v>7</v>
      </c>
    </row>
    <row r="210" spans="1:17" x14ac:dyDescent="0.25">
      <c r="A210">
        <v>8899</v>
      </c>
      <c r="B210" t="s">
        <v>201</v>
      </c>
      <c r="C210">
        <v>6811084.8099999996</v>
      </c>
      <c r="D210" s="4">
        <v>6811</v>
      </c>
      <c r="E210" s="4"/>
      <c r="F210" s="4"/>
      <c r="G210" s="4"/>
      <c r="H210" s="4"/>
      <c r="I210" s="4"/>
      <c r="J210" s="4"/>
      <c r="K210" s="4"/>
      <c r="L210" s="4">
        <v>-6797</v>
      </c>
      <c r="M210" s="4"/>
      <c r="N210" s="4">
        <f t="shared" si="15"/>
        <v>-6797</v>
      </c>
      <c r="O210" s="4">
        <f t="shared" si="16"/>
        <v>14</v>
      </c>
      <c r="P210">
        <v>-20</v>
      </c>
      <c r="Q210">
        <v>-5</v>
      </c>
    </row>
    <row r="211" spans="1:17" x14ac:dyDescent="0.25">
      <c r="A211">
        <v>8900</v>
      </c>
      <c r="B211" t="s">
        <v>202</v>
      </c>
      <c r="C211">
        <v>-4073730.1</v>
      </c>
      <c r="D211" s="4">
        <v>-4074</v>
      </c>
      <c r="E211" s="4"/>
      <c r="F211" s="4"/>
      <c r="G211" s="4"/>
      <c r="H211" s="4"/>
      <c r="I211" s="4"/>
      <c r="J211" s="4"/>
      <c r="K211" s="4"/>
      <c r="L211" s="4"/>
      <c r="M211" s="4"/>
      <c r="N211" s="4">
        <f t="shared" si="15"/>
        <v>0</v>
      </c>
      <c r="O211" s="4">
        <f t="shared" si="16"/>
        <v>-4074</v>
      </c>
      <c r="Q211">
        <v>-1540</v>
      </c>
    </row>
    <row r="212" spans="1:17" x14ac:dyDescent="0.25">
      <c r="A212">
        <v>8905</v>
      </c>
      <c r="B212" t="s">
        <v>203</v>
      </c>
      <c r="C212">
        <v>4073730.1</v>
      </c>
      <c r="D212" s="4">
        <v>4074</v>
      </c>
      <c r="E212" s="4"/>
      <c r="F212" s="4"/>
      <c r="G212" s="4"/>
      <c r="H212" s="4"/>
      <c r="I212" s="4"/>
      <c r="J212" s="4"/>
      <c r="K212" s="4"/>
      <c r="L212" s="4"/>
      <c r="M212" s="4"/>
      <c r="N212" s="4">
        <f t="shared" si="15"/>
        <v>0</v>
      </c>
      <c r="O212" s="4">
        <f t="shared" si="16"/>
        <v>4074</v>
      </c>
      <c r="Q212">
        <v>1540</v>
      </c>
    </row>
    <row r="213" spans="1:17" x14ac:dyDescent="0.25">
      <c r="A213">
        <v>8910</v>
      </c>
      <c r="B213" t="s">
        <v>204</v>
      </c>
      <c r="C213">
        <v>-5232683.3499999996</v>
      </c>
      <c r="D213" s="4">
        <v>-5233</v>
      </c>
      <c r="E213" s="4"/>
      <c r="F213" s="4"/>
      <c r="G213" s="4"/>
      <c r="H213" s="4"/>
      <c r="I213" s="4"/>
      <c r="J213" s="4"/>
      <c r="K213" s="4"/>
      <c r="L213" s="4"/>
      <c r="M213" s="4"/>
      <c r="N213" s="4">
        <f t="shared" si="15"/>
        <v>0</v>
      </c>
      <c r="O213" s="4">
        <f t="shared" si="16"/>
        <v>-5233</v>
      </c>
      <c r="Q213">
        <v>-2785</v>
      </c>
    </row>
    <row r="214" spans="1:17" x14ac:dyDescent="0.25">
      <c r="A214">
        <v>8915</v>
      </c>
      <c r="B214" t="s">
        <v>205</v>
      </c>
      <c r="C214">
        <v>5232683.3499999996</v>
      </c>
      <c r="D214" s="4">
        <v>5233</v>
      </c>
      <c r="E214" s="4"/>
      <c r="F214" s="4"/>
      <c r="G214" s="4"/>
      <c r="H214" s="4"/>
      <c r="I214" s="4"/>
      <c r="J214" s="4"/>
      <c r="K214" s="4"/>
      <c r="L214" s="4"/>
      <c r="M214" s="4"/>
      <c r="N214" s="4">
        <f t="shared" si="15"/>
        <v>0</v>
      </c>
      <c r="O214" s="4">
        <f t="shared" si="16"/>
        <v>5233</v>
      </c>
      <c r="Q214">
        <v>2785</v>
      </c>
    </row>
    <row r="215" spans="1:17" x14ac:dyDescent="0.25">
      <c r="A215">
        <v>8920</v>
      </c>
      <c r="B215" t="s">
        <v>206</v>
      </c>
      <c r="C215">
        <v>-1376229.96</v>
      </c>
      <c r="D215" s="4">
        <v>-1376</v>
      </c>
      <c r="E215" s="4"/>
      <c r="F215" s="4"/>
      <c r="G215" s="4"/>
      <c r="H215" s="4"/>
      <c r="I215" s="4"/>
      <c r="J215" s="4"/>
      <c r="K215" s="4"/>
      <c r="L215" s="4"/>
      <c r="M215" s="4"/>
      <c r="N215" s="4">
        <f t="shared" si="15"/>
        <v>0</v>
      </c>
      <c r="O215" s="4">
        <f t="shared" si="16"/>
        <v>-1376</v>
      </c>
      <c r="Q215">
        <v>-1128</v>
      </c>
    </row>
    <row r="216" spans="1:17" x14ac:dyDescent="0.25">
      <c r="A216">
        <v>8925</v>
      </c>
      <c r="B216" t="s">
        <v>207</v>
      </c>
      <c r="C216">
        <v>1376229.96</v>
      </c>
      <c r="D216" s="4">
        <v>1376</v>
      </c>
      <c r="E216" s="4"/>
      <c r="F216" s="4"/>
      <c r="G216" s="4"/>
      <c r="H216" s="4"/>
      <c r="I216" s="4"/>
      <c r="J216" s="4"/>
      <c r="K216" s="4"/>
      <c r="L216" s="4"/>
      <c r="M216" s="4"/>
      <c r="N216" s="4">
        <f t="shared" si="15"/>
        <v>0</v>
      </c>
      <c r="O216" s="4">
        <f t="shared" si="16"/>
        <v>1376</v>
      </c>
      <c r="Q216">
        <v>1128</v>
      </c>
    </row>
    <row r="217" spans="1:17" x14ac:dyDescent="0.25">
      <c r="A217">
        <v>9100</v>
      </c>
      <c r="B217" t="s">
        <v>208</v>
      </c>
      <c r="C217">
        <v>-62114.62</v>
      </c>
      <c r="D217" s="4">
        <v>-62</v>
      </c>
      <c r="E217" s="4"/>
      <c r="F217" s="4"/>
      <c r="G217" s="4"/>
      <c r="H217" s="4"/>
      <c r="I217" s="4"/>
      <c r="J217" s="4"/>
      <c r="K217" s="4"/>
      <c r="L217" s="4"/>
      <c r="M217" s="4"/>
      <c r="N217" s="4">
        <f t="shared" si="15"/>
        <v>0</v>
      </c>
      <c r="O217" s="4">
        <f t="shared" si="16"/>
        <v>-62</v>
      </c>
      <c r="Q217">
        <v>-147</v>
      </c>
    </row>
    <row r="218" spans="1:17" x14ac:dyDescent="0.25">
      <c r="A218">
        <v>9105</v>
      </c>
      <c r="B218" t="s">
        <v>209</v>
      </c>
      <c r="C218">
        <v>9882.52</v>
      </c>
      <c r="D218" s="4">
        <v>10</v>
      </c>
      <c r="E218" s="4"/>
      <c r="F218" s="4"/>
      <c r="G218" s="4"/>
      <c r="H218" s="4"/>
      <c r="I218" s="4"/>
      <c r="J218" s="4"/>
      <c r="K218" s="4"/>
      <c r="L218" s="4"/>
      <c r="M218" s="4"/>
      <c r="N218" s="4">
        <f t="shared" si="15"/>
        <v>0</v>
      </c>
      <c r="O218" s="4">
        <f t="shared" si="16"/>
        <v>10</v>
      </c>
      <c r="P218">
        <v>1</v>
      </c>
      <c r="Q218">
        <v>3</v>
      </c>
    </row>
    <row r="219" spans="1:17" x14ac:dyDescent="0.25">
      <c r="A219">
        <v>9110</v>
      </c>
      <c r="B219" t="s">
        <v>210</v>
      </c>
      <c r="C219">
        <v>49050</v>
      </c>
      <c r="D219" s="4">
        <v>49</v>
      </c>
      <c r="E219" s="4"/>
      <c r="F219" s="4"/>
      <c r="G219" s="4"/>
      <c r="H219" s="4"/>
      <c r="I219" s="4"/>
      <c r="J219" s="4"/>
      <c r="K219" s="4"/>
      <c r="L219" s="4"/>
      <c r="M219" s="4"/>
      <c r="N219" s="4">
        <f t="shared" si="15"/>
        <v>0</v>
      </c>
      <c r="O219" s="4">
        <f t="shared" si="16"/>
        <v>49</v>
      </c>
    </row>
    <row r="220" spans="1:17" x14ac:dyDescent="0.25">
      <c r="A220">
        <v>9500</v>
      </c>
      <c r="B220" t="s">
        <v>211</v>
      </c>
      <c r="C220">
        <v>1570</v>
      </c>
      <c r="D220" s="4">
        <v>2</v>
      </c>
      <c r="E220" s="4"/>
      <c r="F220" s="4"/>
      <c r="G220" s="4"/>
      <c r="H220" s="4"/>
      <c r="I220" s="4"/>
      <c r="J220" s="4"/>
      <c r="K220" s="4"/>
      <c r="L220" s="4"/>
      <c r="M220" s="4"/>
      <c r="N220" s="4">
        <f t="shared" si="15"/>
        <v>0</v>
      </c>
      <c r="O220" s="4">
        <f t="shared" si="16"/>
        <v>2</v>
      </c>
      <c r="Q220">
        <v>1</v>
      </c>
    </row>
    <row r="221" spans="1:17" x14ac:dyDescent="0.25">
      <c r="A221">
        <v>9991</v>
      </c>
      <c r="B221" t="s">
        <v>212</v>
      </c>
      <c r="C221">
        <v>34310.5</v>
      </c>
      <c r="D221" s="4">
        <v>34</v>
      </c>
      <c r="E221" s="4"/>
      <c r="F221" s="4"/>
      <c r="G221" s="4"/>
      <c r="H221" s="4"/>
      <c r="I221" s="4"/>
      <c r="J221" s="4"/>
      <c r="K221" s="4"/>
      <c r="L221" s="4"/>
      <c r="M221" s="4"/>
      <c r="N221" s="4">
        <f t="shared" si="15"/>
        <v>0</v>
      </c>
      <c r="O221" s="4">
        <f t="shared" si="16"/>
        <v>34</v>
      </c>
      <c r="P221">
        <v>72</v>
      </c>
    </row>
    <row r="222" spans="1:17" x14ac:dyDescent="0.25">
      <c r="A222">
        <v>9996</v>
      </c>
      <c r="B222" t="s">
        <v>213</v>
      </c>
      <c r="C222">
        <v>46621.95</v>
      </c>
      <c r="D222" s="4">
        <v>47</v>
      </c>
      <c r="E222" s="4"/>
      <c r="F222" s="4"/>
      <c r="G222" s="4"/>
      <c r="H222" s="4"/>
      <c r="I222" s="4"/>
      <c r="J222" s="4"/>
      <c r="K222" s="4"/>
      <c r="L222" s="4"/>
      <c r="M222" s="4"/>
      <c r="N222" s="4">
        <f t="shared" si="15"/>
        <v>0</v>
      </c>
      <c r="O222" s="4">
        <f t="shared" si="16"/>
        <v>47</v>
      </c>
      <c r="P222">
        <v>86</v>
      </c>
    </row>
    <row r="223" spans="1:17" x14ac:dyDescent="0.25">
      <c r="A223">
        <v>9999</v>
      </c>
      <c r="B223" t="s">
        <v>214</v>
      </c>
      <c r="C223">
        <v>48811.8</v>
      </c>
      <c r="D223" s="4">
        <v>49</v>
      </c>
      <c r="E223" s="4"/>
      <c r="F223" s="4"/>
      <c r="G223" s="4"/>
      <c r="H223" s="4"/>
      <c r="I223" s="4"/>
      <c r="J223" s="4"/>
      <c r="K223" s="4"/>
      <c r="L223" s="4">
        <v>0</v>
      </c>
      <c r="M223" s="4"/>
      <c r="N223" s="4">
        <f t="shared" si="15"/>
        <v>0</v>
      </c>
      <c r="O223" s="4">
        <f t="shared" si="16"/>
        <v>49</v>
      </c>
      <c r="P223">
        <v>1</v>
      </c>
      <c r="Q223">
        <v>1</v>
      </c>
    </row>
    <row r="224" spans="1:17" x14ac:dyDescent="0.25">
      <c r="A224">
        <v>7855</v>
      </c>
      <c r="B224" t="s">
        <v>282</v>
      </c>
      <c r="P224">
        <v>1</v>
      </c>
    </row>
    <row r="225" spans="1:16" x14ac:dyDescent="0.25">
      <c r="A225">
        <v>9983</v>
      </c>
      <c r="B225" t="s">
        <v>287</v>
      </c>
      <c r="P225">
        <v>1</v>
      </c>
    </row>
    <row r="226" spans="1:16" x14ac:dyDescent="0.25">
      <c r="A226">
        <v>9985</v>
      </c>
      <c r="B226" t="s">
        <v>288</v>
      </c>
      <c r="P226">
        <v>1</v>
      </c>
    </row>
    <row r="227" spans="1:16" x14ac:dyDescent="0.25">
      <c r="A227">
        <v>9982</v>
      </c>
      <c r="B227" t="s">
        <v>286</v>
      </c>
      <c r="P227">
        <v>2</v>
      </c>
    </row>
    <row r="228" spans="1:16" x14ac:dyDescent="0.25">
      <c r="A228">
        <v>8302</v>
      </c>
      <c r="B228" t="s">
        <v>284</v>
      </c>
      <c r="P228">
        <v>3</v>
      </c>
    </row>
    <row r="229" spans="1:16" x14ac:dyDescent="0.25">
      <c r="A229">
        <v>9992</v>
      </c>
      <c r="B229" t="s">
        <v>290</v>
      </c>
      <c r="P229">
        <v>4</v>
      </c>
    </row>
    <row r="230" spans="1:16" x14ac:dyDescent="0.25">
      <c r="A230">
        <v>8306</v>
      </c>
      <c r="B230" t="s">
        <v>285</v>
      </c>
      <c r="P230">
        <v>8</v>
      </c>
    </row>
    <row r="231" spans="1:16" x14ac:dyDescent="0.25">
      <c r="A231">
        <v>9987</v>
      </c>
      <c r="B231" t="s">
        <v>289</v>
      </c>
      <c r="P231">
        <v>8</v>
      </c>
    </row>
    <row r="232" spans="1:16" x14ac:dyDescent="0.25">
      <c r="A232">
        <v>9994</v>
      </c>
      <c r="B232" t="s">
        <v>291</v>
      </c>
      <c r="P232">
        <v>9</v>
      </c>
    </row>
  </sheetData>
  <sortState ref="A11:I298">
    <sortCondition ref="A1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workbookViewId="0">
      <pane xSplit="3" ySplit="9" topLeftCell="D130" activePane="bottomRight" state="frozen"/>
      <selection pane="topRight" activeCell="D1" sqref="D1"/>
      <selection pane="bottomLeft" activeCell="A10" sqref="A10"/>
      <selection pane="bottomRight" activeCell="H139" sqref="H139"/>
    </sheetView>
  </sheetViews>
  <sheetFormatPr defaultRowHeight="15" x14ac:dyDescent="0.25"/>
  <cols>
    <col min="2" max="2" width="29" bestFit="1" customWidth="1"/>
    <col min="3" max="3" width="16" customWidth="1"/>
    <col min="5" max="5" width="23.7109375" customWidth="1"/>
    <col min="6" max="6" width="16.7109375" customWidth="1"/>
    <col min="7" max="7" width="1" customWidth="1"/>
    <col min="8" max="8" width="18.28515625" style="4" customWidth="1"/>
  </cols>
  <sheetData>
    <row r="1" spans="1:8" x14ac:dyDescent="0.25">
      <c r="A1" t="s">
        <v>275</v>
      </c>
    </row>
    <row r="2" spans="1:8" x14ac:dyDescent="0.25">
      <c r="A2" t="s">
        <v>276</v>
      </c>
    </row>
    <row r="4" spans="1:8" x14ac:dyDescent="0.25">
      <c r="A4" t="s">
        <v>277</v>
      </c>
    </row>
    <row r="8" spans="1:8" x14ac:dyDescent="0.25">
      <c r="E8" s="3" t="s">
        <v>216</v>
      </c>
      <c r="F8" s="3"/>
    </row>
    <row r="9" spans="1:8" x14ac:dyDescent="0.25">
      <c r="A9" t="s">
        <v>1</v>
      </c>
      <c r="B9" t="s">
        <v>2</v>
      </c>
      <c r="C9" t="s">
        <v>278</v>
      </c>
      <c r="D9" t="s">
        <v>279</v>
      </c>
      <c r="E9" s="3" t="s">
        <v>217</v>
      </c>
      <c r="F9" s="3" t="s">
        <v>218</v>
      </c>
      <c r="H9" s="4" t="s">
        <v>280</v>
      </c>
    </row>
    <row r="10" spans="1:8" x14ac:dyDescent="0.25">
      <c r="A10">
        <v>1011</v>
      </c>
      <c r="B10" t="s">
        <v>7</v>
      </c>
      <c r="C10">
        <v>2</v>
      </c>
      <c r="D10">
        <f>VLOOKUP(A10,[1]Sheet1!A:M,13,FALSE)</f>
        <v>0</v>
      </c>
      <c r="H10" s="4">
        <f t="shared" ref="H10:H41" si="0">SUM(C10:G10)</f>
        <v>2</v>
      </c>
    </row>
    <row r="11" spans="1:8" x14ac:dyDescent="0.25">
      <c r="A11">
        <v>1025</v>
      </c>
      <c r="B11" t="s">
        <v>8</v>
      </c>
      <c r="C11">
        <v>24461</v>
      </c>
      <c r="D11">
        <f>VLOOKUP(A11,[1]Sheet1!A:M,13,FALSE)</f>
        <v>0</v>
      </c>
      <c r="H11" s="4">
        <f t="shared" si="0"/>
        <v>24461</v>
      </c>
    </row>
    <row r="12" spans="1:8" x14ac:dyDescent="0.25">
      <c r="A12">
        <v>1040</v>
      </c>
      <c r="B12" t="s">
        <v>9</v>
      </c>
      <c r="C12">
        <v>164</v>
      </c>
      <c r="D12">
        <f>VLOOKUP(A12,[1]Sheet1!A:M,13,FALSE)</f>
        <v>0</v>
      </c>
      <c r="H12" s="4">
        <f t="shared" si="0"/>
        <v>164</v>
      </c>
    </row>
    <row r="13" spans="1:8" x14ac:dyDescent="0.25">
      <c r="A13">
        <v>1045</v>
      </c>
      <c r="B13" t="s">
        <v>10</v>
      </c>
      <c r="C13">
        <v>10502</v>
      </c>
      <c r="D13">
        <f>VLOOKUP(A13,[1]Sheet1!A:M,13,FALSE)</f>
        <v>0</v>
      </c>
      <c r="H13" s="4">
        <f t="shared" si="0"/>
        <v>10502</v>
      </c>
    </row>
    <row r="14" spans="1:8" x14ac:dyDescent="0.25">
      <c r="A14">
        <v>1050</v>
      </c>
      <c r="B14" t="s">
        <v>11</v>
      </c>
      <c r="C14">
        <v>6</v>
      </c>
      <c r="D14">
        <f>VLOOKUP(A14,[1]Sheet1!A:M,13,FALSE)</f>
        <v>0</v>
      </c>
      <c r="H14" s="4">
        <f t="shared" si="0"/>
        <v>6</v>
      </c>
    </row>
    <row r="15" spans="1:8" x14ac:dyDescent="0.25">
      <c r="A15">
        <v>1070</v>
      </c>
      <c r="B15" t="s">
        <v>12</v>
      </c>
      <c r="C15">
        <v>6461</v>
      </c>
      <c r="D15">
        <f>VLOOKUP(A15,[1]Sheet1!A:M,13,FALSE)</f>
        <v>0</v>
      </c>
      <c r="H15" s="4">
        <f t="shared" si="0"/>
        <v>6461</v>
      </c>
    </row>
    <row r="16" spans="1:8" x14ac:dyDescent="0.25">
      <c r="A16">
        <v>1071</v>
      </c>
      <c r="B16" t="s">
        <v>13</v>
      </c>
      <c r="C16">
        <v>27978</v>
      </c>
      <c r="D16">
        <f>VLOOKUP(A16,[1]Sheet1!A:M,13,FALSE)</f>
        <v>0</v>
      </c>
      <c r="H16" s="4">
        <f t="shared" si="0"/>
        <v>27978</v>
      </c>
    </row>
    <row r="17" spans="1:19" x14ac:dyDescent="0.25">
      <c r="A17">
        <v>1110</v>
      </c>
      <c r="B17" t="s">
        <v>14</v>
      </c>
      <c r="C17">
        <v>0</v>
      </c>
      <c r="D17">
        <f>VLOOKUP(A17,[1]Sheet1!A:M,13,FALSE)</f>
        <v>0</v>
      </c>
      <c r="H17" s="4">
        <f t="shared" si="0"/>
        <v>0</v>
      </c>
    </row>
    <row r="18" spans="1:19" x14ac:dyDescent="0.25">
      <c r="A18">
        <v>1170</v>
      </c>
      <c r="B18" t="s">
        <v>15</v>
      </c>
      <c r="D18">
        <f>VLOOKUP(A18,[1]Sheet1!A:M,13,FALSE)</f>
        <v>0</v>
      </c>
      <c r="H18" s="4">
        <f t="shared" si="0"/>
        <v>0</v>
      </c>
    </row>
    <row r="19" spans="1:19" x14ac:dyDescent="0.25">
      <c r="A19">
        <v>1205</v>
      </c>
      <c r="B19" t="s">
        <v>223</v>
      </c>
      <c r="D19">
        <f>VLOOKUP(A19,[1]Sheet1!A:M,13,FALSE)</f>
        <v>7546</v>
      </c>
      <c r="F19">
        <f>-SUM(F161:F175)</f>
        <v>1</v>
      </c>
      <c r="H19" s="4">
        <f t="shared" si="0"/>
        <v>7547</v>
      </c>
      <c r="J19" s="5"/>
      <c r="L19" s="4"/>
      <c r="M19" s="4"/>
      <c r="S19" s="4"/>
    </row>
    <row r="20" spans="1:19" x14ac:dyDescent="0.25">
      <c r="A20">
        <v>1210</v>
      </c>
      <c r="B20" t="s">
        <v>16</v>
      </c>
      <c r="C20">
        <v>-33</v>
      </c>
      <c r="D20">
        <f>VLOOKUP(A20,[1]Sheet1!A:M,13,FALSE)</f>
        <v>33</v>
      </c>
      <c r="H20" s="4">
        <f t="shared" si="0"/>
        <v>0</v>
      </c>
    </row>
    <row r="21" spans="1:19" x14ac:dyDescent="0.25">
      <c r="A21">
        <v>1215</v>
      </c>
      <c r="B21" t="s">
        <v>17</v>
      </c>
      <c r="C21">
        <v>105</v>
      </c>
      <c r="D21">
        <f>VLOOKUP(A21,[1]Sheet1!A:M,13,FALSE)</f>
        <v>-105</v>
      </c>
      <c r="H21" s="4">
        <f t="shared" si="0"/>
        <v>0</v>
      </c>
    </row>
    <row r="22" spans="1:19" x14ac:dyDescent="0.25">
      <c r="A22">
        <v>1230</v>
      </c>
      <c r="B22" t="s">
        <v>18</v>
      </c>
      <c r="C22">
        <v>-10</v>
      </c>
      <c r="D22">
        <f>VLOOKUP(A22,[1]Sheet1!A:M,13,FALSE)</f>
        <v>10</v>
      </c>
      <c r="H22" s="4">
        <f t="shared" si="0"/>
        <v>0</v>
      </c>
    </row>
    <row r="23" spans="1:19" x14ac:dyDescent="0.25">
      <c r="A23">
        <v>1240</v>
      </c>
      <c r="B23" t="s">
        <v>19</v>
      </c>
      <c r="C23">
        <v>39</v>
      </c>
      <c r="D23">
        <f>VLOOKUP(A23,[1]Sheet1!A:M,13,FALSE)</f>
        <v>-32</v>
      </c>
      <c r="E23">
        <v>-7</v>
      </c>
      <c r="H23" s="4">
        <f t="shared" si="0"/>
        <v>0</v>
      </c>
    </row>
    <row r="24" spans="1:19" x14ac:dyDescent="0.25">
      <c r="A24">
        <v>1260</v>
      </c>
      <c r="B24" t="s">
        <v>20</v>
      </c>
      <c r="C24">
        <v>0</v>
      </c>
      <c r="D24">
        <f>VLOOKUP(A24,[1]Sheet1!A:M,13,FALSE)</f>
        <v>0</v>
      </c>
      <c r="H24" s="4">
        <f t="shared" si="0"/>
        <v>0</v>
      </c>
    </row>
    <row r="25" spans="1:19" x14ac:dyDescent="0.25">
      <c r="A25">
        <v>1310</v>
      </c>
      <c r="B25" t="s">
        <v>21</v>
      </c>
      <c r="C25">
        <f>867-10</f>
        <v>857</v>
      </c>
      <c r="D25">
        <f>VLOOKUP(A25,[1]Sheet1!A:M,13,FALSE)</f>
        <v>0</v>
      </c>
      <c r="H25" s="4">
        <f t="shared" si="0"/>
        <v>857</v>
      </c>
    </row>
    <row r="26" spans="1:19" x14ac:dyDescent="0.25">
      <c r="A26">
        <v>1311</v>
      </c>
      <c r="B26" t="s">
        <v>22</v>
      </c>
      <c r="C26">
        <v>-12</v>
      </c>
      <c r="D26">
        <f>VLOOKUP(A26,[1]Sheet1!A:M,13,FALSE)</f>
        <v>0</v>
      </c>
      <c r="H26" s="4">
        <f t="shared" si="0"/>
        <v>-12</v>
      </c>
    </row>
    <row r="27" spans="1:19" x14ac:dyDescent="0.25">
      <c r="A27">
        <v>1312</v>
      </c>
      <c r="B27" t="s">
        <v>23</v>
      </c>
      <c r="C27">
        <v>268</v>
      </c>
      <c r="D27">
        <f>VLOOKUP(A27,[1]Sheet1!A:M,13,FALSE)</f>
        <v>0</v>
      </c>
      <c r="H27" s="4">
        <f t="shared" si="0"/>
        <v>268</v>
      </c>
    </row>
    <row r="28" spans="1:19" x14ac:dyDescent="0.25">
      <c r="A28">
        <v>1313</v>
      </c>
      <c r="B28" t="s">
        <v>24</v>
      </c>
      <c r="C28">
        <v>31</v>
      </c>
      <c r="D28">
        <f>VLOOKUP(A28,[1]Sheet1!A:M,13,FALSE)</f>
        <v>0</v>
      </c>
      <c r="H28" s="4">
        <f t="shared" si="0"/>
        <v>31</v>
      </c>
    </row>
    <row r="29" spans="1:19" x14ac:dyDescent="0.25">
      <c r="A29">
        <v>1314</v>
      </c>
      <c r="B29" t="s">
        <v>25</v>
      </c>
      <c r="C29">
        <v>640</v>
      </c>
      <c r="D29">
        <f>VLOOKUP(A29,[1]Sheet1!A:M,13,FALSE)</f>
        <v>0</v>
      </c>
      <c r="H29" s="4">
        <f t="shared" si="0"/>
        <v>640</v>
      </c>
    </row>
    <row r="30" spans="1:19" x14ac:dyDescent="0.25">
      <c r="A30">
        <v>1410</v>
      </c>
      <c r="B30" t="s">
        <v>26</v>
      </c>
      <c r="C30">
        <v>13</v>
      </c>
      <c r="D30">
        <f>VLOOKUP(A30,[1]Sheet1!A:M,13,FALSE)</f>
        <v>0</v>
      </c>
      <c r="H30" s="4">
        <f t="shared" si="0"/>
        <v>13</v>
      </c>
    </row>
    <row r="31" spans="1:19" x14ac:dyDescent="0.25">
      <c r="A31">
        <v>1415</v>
      </c>
      <c r="B31" t="s">
        <v>27</v>
      </c>
      <c r="C31">
        <v>26</v>
      </c>
      <c r="D31">
        <f>VLOOKUP(A31,[1]Sheet1!A:M,13,FALSE)</f>
        <v>0</v>
      </c>
      <c r="H31" s="4">
        <f t="shared" si="0"/>
        <v>26</v>
      </c>
    </row>
    <row r="32" spans="1:19" x14ac:dyDescent="0.25">
      <c r="A32">
        <v>1416</v>
      </c>
      <c r="B32" t="s">
        <v>28</v>
      </c>
      <c r="C32">
        <v>1</v>
      </c>
      <c r="D32">
        <f>VLOOKUP(A32,[1]Sheet1!A:M,13,FALSE)</f>
        <v>0</v>
      </c>
      <c r="H32" s="4">
        <f t="shared" si="0"/>
        <v>1</v>
      </c>
    </row>
    <row r="33" spans="1:8" x14ac:dyDescent="0.25">
      <c r="A33">
        <v>1422</v>
      </c>
      <c r="B33" t="s">
        <v>29</v>
      </c>
      <c r="C33">
        <v>10</v>
      </c>
      <c r="D33">
        <f>VLOOKUP(A33,[1]Sheet1!A:M,13,FALSE)</f>
        <v>0</v>
      </c>
      <c r="H33" s="4">
        <f t="shared" si="0"/>
        <v>10</v>
      </c>
    </row>
    <row r="34" spans="1:8" x14ac:dyDescent="0.25">
      <c r="A34">
        <v>1520</v>
      </c>
      <c r="B34" t="s">
        <v>30</v>
      </c>
      <c r="C34">
        <v>79</v>
      </c>
      <c r="D34">
        <f>VLOOKUP(A34,[1]Sheet1!A:M,13,FALSE)</f>
        <v>0</v>
      </c>
      <c r="H34" s="4">
        <f t="shared" si="0"/>
        <v>79</v>
      </c>
    </row>
    <row r="35" spans="1:8" x14ac:dyDescent="0.25">
      <c r="A35">
        <v>1526</v>
      </c>
      <c r="B35" t="s">
        <v>31</v>
      </c>
      <c r="C35">
        <v>71</v>
      </c>
      <c r="D35">
        <f>VLOOKUP(A35,[1]Sheet1!A:M,13,FALSE)</f>
        <v>0</v>
      </c>
      <c r="H35" s="4">
        <f t="shared" si="0"/>
        <v>71</v>
      </c>
    </row>
    <row r="36" spans="1:8" x14ac:dyDescent="0.25">
      <c r="A36">
        <v>1535</v>
      </c>
      <c r="B36" t="s">
        <v>32</v>
      </c>
      <c r="C36">
        <v>49</v>
      </c>
      <c r="D36">
        <f>VLOOKUP(A36,[1]Sheet1!A:M,13,FALSE)</f>
        <v>-44</v>
      </c>
      <c r="H36" s="4">
        <f t="shared" si="0"/>
        <v>5</v>
      </c>
    </row>
    <row r="37" spans="1:8" x14ac:dyDescent="0.25">
      <c r="A37">
        <v>1610</v>
      </c>
      <c r="B37" t="s">
        <v>33</v>
      </c>
      <c r="C37">
        <v>5981</v>
      </c>
      <c r="D37">
        <f>VLOOKUP(A37,[1]Sheet1!A:M,13,FALSE)</f>
        <v>0</v>
      </c>
      <c r="H37" s="4">
        <f t="shared" si="0"/>
        <v>5981</v>
      </c>
    </row>
    <row r="38" spans="1:8" x14ac:dyDescent="0.25">
      <c r="A38">
        <v>1611</v>
      </c>
      <c r="B38" t="s">
        <v>34</v>
      </c>
      <c r="C38">
        <v>9356</v>
      </c>
      <c r="D38">
        <f>VLOOKUP(A38,[1]Sheet1!A:M,13,FALSE)</f>
        <v>0</v>
      </c>
      <c r="H38" s="4">
        <f t="shared" si="0"/>
        <v>9356</v>
      </c>
    </row>
    <row r="39" spans="1:8" x14ac:dyDescent="0.25">
      <c r="A39">
        <v>1612</v>
      </c>
      <c r="B39" t="s">
        <v>35</v>
      </c>
      <c r="C39">
        <v>903</v>
      </c>
      <c r="D39">
        <f>VLOOKUP(A39,[1]Sheet1!A:M,13,FALSE)</f>
        <v>0</v>
      </c>
      <c r="H39" s="4">
        <f t="shared" si="0"/>
        <v>903</v>
      </c>
    </row>
    <row r="40" spans="1:8" x14ac:dyDescent="0.25">
      <c r="A40">
        <v>1615</v>
      </c>
      <c r="B40" t="s">
        <v>36</v>
      </c>
      <c r="C40">
        <v>141</v>
      </c>
      <c r="D40">
        <f>VLOOKUP(A40,[1]Sheet1!A:M,13,FALSE)</f>
        <v>0</v>
      </c>
      <c r="H40" s="4">
        <f t="shared" si="0"/>
        <v>141</v>
      </c>
    </row>
    <row r="41" spans="1:8" x14ac:dyDescent="0.25">
      <c r="A41">
        <v>1620</v>
      </c>
      <c r="B41" t="s">
        <v>37</v>
      </c>
      <c r="C41">
        <v>405</v>
      </c>
      <c r="D41">
        <f>VLOOKUP(A41,[1]Sheet1!A:M,13,FALSE)</f>
        <v>0</v>
      </c>
      <c r="H41" s="4">
        <f t="shared" si="0"/>
        <v>405</v>
      </c>
    </row>
    <row r="42" spans="1:8" x14ac:dyDescent="0.25">
      <c r="A42">
        <v>1625</v>
      </c>
      <c r="B42" t="s">
        <v>38</v>
      </c>
      <c r="C42">
        <v>1286</v>
      </c>
      <c r="D42">
        <f>VLOOKUP(A42,[1]Sheet1!A:M,13,FALSE)</f>
        <v>0</v>
      </c>
      <c r="H42" s="4">
        <f t="shared" ref="H42:H73" si="1">SUM(C42:G42)</f>
        <v>1286</v>
      </c>
    </row>
    <row r="43" spans="1:8" x14ac:dyDescent="0.25">
      <c r="A43">
        <v>1630</v>
      </c>
      <c r="B43" t="s">
        <v>39</v>
      </c>
      <c r="C43">
        <v>475</v>
      </c>
      <c r="D43">
        <f>VLOOKUP(A43,[1]Sheet1!A:M,13,FALSE)</f>
        <v>0</v>
      </c>
      <c r="H43" s="4">
        <f t="shared" si="1"/>
        <v>475</v>
      </c>
    </row>
    <row r="44" spans="1:8" x14ac:dyDescent="0.25">
      <c r="A44">
        <v>1635</v>
      </c>
      <c r="B44" t="s">
        <v>40</v>
      </c>
      <c r="C44">
        <v>2234</v>
      </c>
      <c r="D44">
        <f>VLOOKUP(A44,[1]Sheet1!A:M,13,FALSE)</f>
        <v>0</v>
      </c>
      <c r="H44" s="4">
        <f t="shared" si="1"/>
        <v>2234</v>
      </c>
    </row>
    <row r="45" spans="1:8" x14ac:dyDescent="0.25">
      <c r="A45">
        <v>1640</v>
      </c>
      <c r="B45" t="s">
        <v>41</v>
      </c>
      <c r="C45">
        <v>22</v>
      </c>
      <c r="D45">
        <f>VLOOKUP(A45,[1]Sheet1!A:M,13,FALSE)</f>
        <v>0</v>
      </c>
      <c r="H45" s="4">
        <f t="shared" si="1"/>
        <v>22</v>
      </c>
    </row>
    <row r="46" spans="1:8" x14ac:dyDescent="0.25">
      <c r="A46">
        <v>1680</v>
      </c>
      <c r="B46" t="s">
        <v>42</v>
      </c>
      <c r="C46">
        <v>650</v>
      </c>
      <c r="D46">
        <f>VLOOKUP(A46,[1]Sheet1!A:M,13,FALSE)</f>
        <v>0</v>
      </c>
      <c r="H46" s="4">
        <f t="shared" si="1"/>
        <v>650</v>
      </c>
    </row>
    <row r="47" spans="1:8" x14ac:dyDescent="0.25">
      <c r="A47">
        <v>1690</v>
      </c>
      <c r="B47" t="s">
        <v>43</v>
      </c>
      <c r="C47">
        <v>52</v>
      </c>
      <c r="D47">
        <f>VLOOKUP(A47,[1]Sheet1!A:M,13,FALSE)</f>
        <v>0</v>
      </c>
      <c r="H47" s="4">
        <f t="shared" si="1"/>
        <v>52</v>
      </c>
    </row>
    <row r="48" spans="1:8" x14ac:dyDescent="0.25">
      <c r="A48">
        <v>1691</v>
      </c>
      <c r="B48" t="s">
        <v>44</v>
      </c>
      <c r="C48">
        <v>16</v>
      </c>
      <c r="D48">
        <f>VLOOKUP(A48,[1]Sheet1!A:M,13,FALSE)</f>
        <v>0</v>
      </c>
      <c r="H48" s="4">
        <f t="shared" si="1"/>
        <v>16</v>
      </c>
    </row>
    <row r="49" spans="1:8" x14ac:dyDescent="0.25">
      <c r="A49">
        <v>1694</v>
      </c>
      <c r="B49" t="s">
        <v>45</v>
      </c>
      <c r="C49">
        <v>111</v>
      </c>
      <c r="D49">
        <f>VLOOKUP(A49,[1]Sheet1!A:M,13,FALSE)</f>
        <v>0</v>
      </c>
      <c r="H49" s="4">
        <f t="shared" si="1"/>
        <v>111</v>
      </c>
    </row>
    <row r="50" spans="1:8" x14ac:dyDescent="0.25">
      <c r="A50">
        <v>1695</v>
      </c>
      <c r="B50" t="s">
        <v>46</v>
      </c>
      <c r="C50">
        <v>3793</v>
      </c>
      <c r="D50">
        <f>VLOOKUP(A50,[1]Sheet1!A:M,13,FALSE)</f>
        <v>0</v>
      </c>
      <c r="H50" s="4">
        <f t="shared" si="1"/>
        <v>3793</v>
      </c>
    </row>
    <row r="51" spans="1:8" x14ac:dyDescent="0.25">
      <c r="A51">
        <v>1696</v>
      </c>
      <c r="B51" t="s">
        <v>47</v>
      </c>
      <c r="C51">
        <v>15</v>
      </c>
      <c r="D51">
        <f>VLOOKUP(A51,[1]Sheet1!A:M,13,FALSE)</f>
        <v>0</v>
      </c>
      <c r="H51" s="4">
        <f t="shared" si="1"/>
        <v>15</v>
      </c>
    </row>
    <row r="52" spans="1:8" x14ac:dyDescent="0.25">
      <c r="A52">
        <v>1710</v>
      </c>
      <c r="B52" t="s">
        <v>48</v>
      </c>
      <c r="C52">
        <v>-2473</v>
      </c>
      <c r="D52">
        <f>VLOOKUP(A52,[1]Sheet1!A:M,13,FALSE)</f>
        <v>0</v>
      </c>
      <c r="H52" s="4">
        <f t="shared" si="1"/>
        <v>-2473</v>
      </c>
    </row>
    <row r="53" spans="1:8" x14ac:dyDescent="0.25">
      <c r="A53">
        <v>1711</v>
      </c>
      <c r="B53" t="s">
        <v>49</v>
      </c>
      <c r="C53">
        <v>-456</v>
      </c>
      <c r="D53">
        <f>VLOOKUP(A53,[1]Sheet1!A:M,13,FALSE)</f>
        <v>0</v>
      </c>
      <c r="H53" s="4">
        <f t="shared" si="1"/>
        <v>-456</v>
      </c>
    </row>
    <row r="54" spans="1:8" x14ac:dyDescent="0.25">
      <c r="A54">
        <v>1712</v>
      </c>
      <c r="B54" t="s">
        <v>50</v>
      </c>
      <c r="C54">
        <v>-113</v>
      </c>
      <c r="D54">
        <f>VLOOKUP(A54,[1]Sheet1!A:M,13,FALSE)</f>
        <v>0</v>
      </c>
      <c r="H54" s="4">
        <f t="shared" si="1"/>
        <v>-113</v>
      </c>
    </row>
    <row r="55" spans="1:8" x14ac:dyDescent="0.25">
      <c r="A55">
        <v>1715</v>
      </c>
      <c r="B55" t="s">
        <v>51</v>
      </c>
      <c r="C55">
        <v>-75</v>
      </c>
      <c r="D55">
        <f>VLOOKUP(A55,[1]Sheet1!A:M,13,FALSE)</f>
        <v>0</v>
      </c>
      <c r="H55" s="4">
        <f t="shared" si="1"/>
        <v>-75</v>
      </c>
    </row>
    <row r="56" spans="1:8" x14ac:dyDescent="0.25">
      <c r="A56">
        <v>1720</v>
      </c>
      <c r="B56" t="s">
        <v>52</v>
      </c>
      <c r="C56">
        <v>-156</v>
      </c>
      <c r="D56">
        <f>VLOOKUP(A56,[1]Sheet1!A:M,13,FALSE)</f>
        <v>0</v>
      </c>
      <c r="H56" s="4">
        <f t="shared" si="1"/>
        <v>-156</v>
      </c>
    </row>
    <row r="57" spans="1:8" x14ac:dyDescent="0.25">
      <c r="A57">
        <v>1725</v>
      </c>
      <c r="B57" t="s">
        <v>53</v>
      </c>
      <c r="C57">
        <v>-749</v>
      </c>
      <c r="D57">
        <f>VLOOKUP(A57,[1]Sheet1!A:M,13,FALSE)</f>
        <v>0</v>
      </c>
      <c r="H57" s="4">
        <f t="shared" si="1"/>
        <v>-749</v>
      </c>
    </row>
    <row r="58" spans="1:8" x14ac:dyDescent="0.25">
      <c r="A58">
        <v>1730</v>
      </c>
      <c r="B58" t="s">
        <v>54</v>
      </c>
      <c r="C58">
        <v>-262</v>
      </c>
      <c r="D58">
        <f>VLOOKUP(A58,[1]Sheet1!A:M,13,FALSE)</f>
        <v>0</v>
      </c>
      <c r="H58" s="4">
        <f t="shared" si="1"/>
        <v>-262</v>
      </c>
    </row>
    <row r="59" spans="1:8" x14ac:dyDescent="0.25">
      <c r="A59">
        <v>1735</v>
      </c>
      <c r="B59" t="s">
        <v>55</v>
      </c>
      <c r="C59">
        <v>-883</v>
      </c>
      <c r="D59">
        <f>VLOOKUP(A59,[1]Sheet1!A:M,13,FALSE)</f>
        <v>0</v>
      </c>
      <c r="H59" s="4">
        <f t="shared" si="1"/>
        <v>-883</v>
      </c>
    </row>
    <row r="60" spans="1:8" x14ac:dyDescent="0.25">
      <c r="A60">
        <v>1780</v>
      </c>
      <c r="B60" t="s">
        <v>56</v>
      </c>
      <c r="C60">
        <v>-577</v>
      </c>
      <c r="D60">
        <f>VLOOKUP(A60,[1]Sheet1!A:M,13,FALSE)</f>
        <v>0</v>
      </c>
      <c r="H60" s="4">
        <f t="shared" si="1"/>
        <v>-577</v>
      </c>
    </row>
    <row r="61" spans="1:8" x14ac:dyDescent="0.25">
      <c r="A61">
        <v>1806</v>
      </c>
      <c r="B61" t="s">
        <v>57</v>
      </c>
      <c r="C61">
        <v>1215</v>
      </c>
      <c r="D61">
        <f>VLOOKUP(A61,[1]Sheet1!A:M,13,FALSE)</f>
        <v>0</v>
      </c>
      <c r="H61" s="4">
        <f t="shared" si="1"/>
        <v>1215</v>
      </c>
    </row>
    <row r="62" spans="1:8" x14ac:dyDescent="0.25">
      <c r="A62">
        <v>1815</v>
      </c>
      <c r="B62" t="s">
        <v>58</v>
      </c>
      <c r="C62">
        <v>16738</v>
      </c>
      <c r="D62">
        <f>VLOOKUP(A62,[1]Sheet1!A:M,13,FALSE)</f>
        <v>-16738</v>
      </c>
      <c r="H62" s="4">
        <f t="shared" si="1"/>
        <v>0</v>
      </c>
    </row>
    <row r="63" spans="1:8" x14ac:dyDescent="0.25">
      <c r="A63">
        <v>1820</v>
      </c>
      <c r="B63" t="s">
        <v>59</v>
      </c>
      <c r="C63">
        <v>67</v>
      </c>
      <c r="D63">
        <f>VLOOKUP(A63,[1]Sheet1!A:M,13,FALSE)</f>
        <v>-67</v>
      </c>
      <c r="H63" s="4">
        <f t="shared" si="1"/>
        <v>0</v>
      </c>
    </row>
    <row r="64" spans="1:8" x14ac:dyDescent="0.25">
      <c r="A64">
        <v>1825</v>
      </c>
      <c r="B64" t="s">
        <v>60</v>
      </c>
      <c r="C64">
        <v>3</v>
      </c>
      <c r="D64">
        <f>VLOOKUP(A64,[1]Sheet1!A:M,13,FALSE)</f>
        <v>0</v>
      </c>
      <c r="H64" s="4">
        <f t="shared" si="1"/>
        <v>3</v>
      </c>
    </row>
    <row r="65" spans="1:8" x14ac:dyDescent="0.25">
      <c r="A65">
        <v>2010</v>
      </c>
      <c r="B65" t="s">
        <v>61</v>
      </c>
      <c r="C65">
        <v>-3537</v>
      </c>
      <c r="D65">
        <f>VLOOKUP(A65,[1]Sheet1!A:M,13,FALSE)</f>
        <v>0</v>
      </c>
      <c r="H65" s="4">
        <f t="shared" si="1"/>
        <v>-3537</v>
      </c>
    </row>
    <row r="66" spans="1:8" x14ac:dyDescent="0.25">
      <c r="A66">
        <v>2015</v>
      </c>
      <c r="B66" t="s">
        <v>62</v>
      </c>
      <c r="D66">
        <f>VLOOKUP(A66,[1]Sheet1!A:M,13,FALSE)</f>
        <v>0</v>
      </c>
      <c r="H66" s="4">
        <f t="shared" si="1"/>
        <v>0</v>
      </c>
    </row>
    <row r="67" spans="1:8" x14ac:dyDescent="0.25">
      <c r="A67">
        <v>2020</v>
      </c>
      <c r="B67" t="s">
        <v>63</v>
      </c>
      <c r="C67">
        <v>-2</v>
      </c>
      <c r="D67">
        <f>VLOOKUP(A67,[1]Sheet1!A:M,13,FALSE)</f>
        <v>0</v>
      </c>
      <c r="H67" s="4">
        <f t="shared" si="1"/>
        <v>-2</v>
      </c>
    </row>
    <row r="68" spans="1:8" x14ac:dyDescent="0.25">
      <c r="A68">
        <v>2030</v>
      </c>
      <c r="B68" t="s">
        <v>64</v>
      </c>
      <c r="C68">
        <v>-1063</v>
      </c>
      <c r="D68">
        <f>VLOOKUP(A68,[1]Sheet1!A:M,13,FALSE)</f>
        <v>0</v>
      </c>
      <c r="H68" s="4">
        <f t="shared" si="1"/>
        <v>-1063</v>
      </c>
    </row>
    <row r="69" spans="1:8" x14ac:dyDescent="0.25">
      <c r="A69">
        <v>2035</v>
      </c>
      <c r="B69" t="s">
        <v>65</v>
      </c>
      <c r="C69">
        <v>-457</v>
      </c>
      <c r="D69">
        <f>VLOOKUP(A69,[1]Sheet1!A:M,13,FALSE)</f>
        <v>0</v>
      </c>
      <c r="H69" s="4">
        <f t="shared" si="1"/>
        <v>-457</v>
      </c>
    </row>
    <row r="70" spans="1:8" x14ac:dyDescent="0.25">
      <c r="A70">
        <v>2045</v>
      </c>
      <c r="B70" t="s">
        <v>66</v>
      </c>
      <c r="C70">
        <v>-631</v>
      </c>
      <c r="D70">
        <f>VLOOKUP(A70,[1]Sheet1!A:M,13,FALSE)</f>
        <v>0</v>
      </c>
      <c r="H70" s="4">
        <f t="shared" si="1"/>
        <v>-631</v>
      </c>
    </row>
    <row r="71" spans="1:8" x14ac:dyDescent="0.25">
      <c r="A71">
        <v>2055</v>
      </c>
      <c r="B71" t="s">
        <v>67</v>
      </c>
      <c r="C71">
        <v>-883</v>
      </c>
      <c r="D71">
        <f>VLOOKUP(A71,[1]Sheet1!A:M,13,FALSE)</f>
        <v>0</v>
      </c>
      <c r="H71" s="4">
        <f t="shared" si="1"/>
        <v>-883</v>
      </c>
    </row>
    <row r="72" spans="1:8" x14ac:dyDescent="0.25">
      <c r="A72">
        <v>2065</v>
      </c>
      <c r="B72" t="s">
        <v>68</v>
      </c>
      <c r="C72">
        <v>-361</v>
      </c>
      <c r="D72">
        <f>VLOOKUP(A72,[1]Sheet1!A:M,13,FALSE)</f>
        <v>0</v>
      </c>
      <c r="H72" s="4">
        <f t="shared" si="1"/>
        <v>-361</v>
      </c>
    </row>
    <row r="73" spans="1:8" x14ac:dyDescent="0.25">
      <c r="A73">
        <v>2075</v>
      </c>
      <c r="B73" t="s">
        <v>69</v>
      </c>
      <c r="C73">
        <v>-59</v>
      </c>
      <c r="D73">
        <f>VLOOKUP(A73,[1]Sheet1!A:M,13,FALSE)</f>
        <v>0</v>
      </c>
      <c r="H73" s="4">
        <f t="shared" si="1"/>
        <v>-59</v>
      </c>
    </row>
    <row r="74" spans="1:8" x14ac:dyDescent="0.25">
      <c r="A74">
        <v>2085</v>
      </c>
      <c r="B74" t="s">
        <v>70</v>
      </c>
      <c r="C74">
        <v>-32</v>
      </c>
      <c r="D74">
        <f>VLOOKUP(A74,[1]Sheet1!A:M,13,FALSE)</f>
        <v>0</v>
      </c>
      <c r="H74" s="4">
        <f t="shared" ref="H74:H105" si="2">SUM(C74:G74)</f>
        <v>-32</v>
      </c>
    </row>
    <row r="75" spans="1:8" x14ac:dyDescent="0.25">
      <c r="A75">
        <v>2120</v>
      </c>
      <c r="B75" t="s">
        <v>71</v>
      </c>
      <c r="C75">
        <v>-11</v>
      </c>
      <c r="D75">
        <f>VLOOKUP(A75,[1]Sheet1!A:M,13,FALSE)</f>
        <v>0</v>
      </c>
      <c r="H75" s="4">
        <f t="shared" si="2"/>
        <v>-11</v>
      </c>
    </row>
    <row r="76" spans="1:8" x14ac:dyDescent="0.25">
      <c r="A76">
        <v>2121</v>
      </c>
      <c r="B76" t="s">
        <v>72</v>
      </c>
      <c r="C76">
        <v>-13</v>
      </c>
      <c r="D76">
        <f>VLOOKUP(A76,[1]Sheet1!A:M,13,FALSE)</f>
        <v>0</v>
      </c>
      <c r="H76" s="4">
        <f t="shared" si="2"/>
        <v>-13</v>
      </c>
    </row>
    <row r="77" spans="1:8" x14ac:dyDescent="0.25">
      <c r="A77">
        <v>2140</v>
      </c>
      <c r="B77" t="s">
        <v>73</v>
      </c>
      <c r="C77">
        <v>4</v>
      </c>
      <c r="D77">
        <f>VLOOKUP(A77,[1]Sheet1!A:M,13,FALSE)</f>
        <v>0</v>
      </c>
      <c r="H77" s="4">
        <f t="shared" si="2"/>
        <v>4</v>
      </c>
    </row>
    <row r="78" spans="1:8" x14ac:dyDescent="0.25">
      <c r="A78">
        <v>2145</v>
      </c>
      <c r="B78" t="s">
        <v>74</v>
      </c>
      <c r="C78">
        <v>-16851</v>
      </c>
      <c r="D78">
        <f>VLOOKUP(A78,[1]Sheet1!A:M,13,FALSE)</f>
        <v>13494</v>
      </c>
      <c r="H78" s="4">
        <f t="shared" si="2"/>
        <v>-3357</v>
      </c>
    </row>
    <row r="79" spans="1:8" x14ac:dyDescent="0.25">
      <c r="A79">
        <v>2147</v>
      </c>
      <c r="B79" t="s">
        <v>75</v>
      </c>
      <c r="C79">
        <v>-23</v>
      </c>
      <c r="D79">
        <f>VLOOKUP(A79,[1]Sheet1!A:M,13,FALSE)</f>
        <v>0</v>
      </c>
      <c r="H79" s="4">
        <f t="shared" si="2"/>
        <v>-23</v>
      </c>
    </row>
    <row r="80" spans="1:8" x14ac:dyDescent="0.25">
      <c r="A80">
        <v>2150</v>
      </c>
      <c r="B80" t="s">
        <v>76</v>
      </c>
      <c r="C80">
        <v>-138308</v>
      </c>
      <c r="D80">
        <f>VLOOKUP(A80,[1]Sheet1!A:M,13,FALSE)</f>
        <v>0</v>
      </c>
      <c r="H80" s="4">
        <f t="shared" si="2"/>
        <v>-138308</v>
      </c>
    </row>
    <row r="81" spans="1:8" x14ac:dyDescent="0.25">
      <c r="A81">
        <v>2210</v>
      </c>
      <c r="B81" t="s">
        <v>77</v>
      </c>
      <c r="C81">
        <v>0</v>
      </c>
      <c r="D81">
        <f>VLOOKUP(A81,[1]Sheet1!A:M,13,FALSE)</f>
        <v>0</v>
      </c>
      <c r="H81" s="4">
        <f t="shared" si="2"/>
        <v>0</v>
      </c>
    </row>
    <row r="82" spans="1:8" x14ac:dyDescent="0.25">
      <c r="A82">
        <v>2211</v>
      </c>
      <c r="B82" t="s">
        <v>78</v>
      </c>
      <c r="C82">
        <v>-3000</v>
      </c>
      <c r="D82">
        <f>VLOOKUP(A82,[1]Sheet1!A:M,13,FALSE)</f>
        <v>3000</v>
      </c>
      <c r="H82" s="4">
        <f t="shared" si="2"/>
        <v>0</v>
      </c>
    </row>
    <row r="83" spans="1:8" x14ac:dyDescent="0.25">
      <c r="A83">
        <v>2310</v>
      </c>
      <c r="B83" t="s">
        <v>79</v>
      </c>
      <c r="C83">
        <v>-107</v>
      </c>
      <c r="D83">
        <f>VLOOKUP(A83,[1]Sheet1!A:M,13,FALSE)</f>
        <v>0</v>
      </c>
      <c r="H83" s="4">
        <f t="shared" si="2"/>
        <v>-107</v>
      </c>
    </row>
    <row r="84" spans="1:8" x14ac:dyDescent="0.25">
      <c r="A84">
        <v>2410</v>
      </c>
      <c r="B84" t="s">
        <v>80</v>
      </c>
      <c r="C84">
        <v>-2083</v>
      </c>
      <c r="D84">
        <f>VLOOKUP(A84,[1]Sheet1!A:M,13,FALSE)</f>
        <v>0</v>
      </c>
      <c r="H84" s="4">
        <f t="shared" si="2"/>
        <v>-2083</v>
      </c>
    </row>
    <row r="85" spans="1:8" x14ac:dyDescent="0.25">
      <c r="A85">
        <v>2510</v>
      </c>
      <c r="B85" t="s">
        <v>81</v>
      </c>
      <c r="C85">
        <v>-137</v>
      </c>
      <c r="D85">
        <f>VLOOKUP(A85,[1]Sheet1!A:M,13,FALSE)</f>
        <v>0</v>
      </c>
      <c r="H85" s="4">
        <f t="shared" si="2"/>
        <v>-137</v>
      </c>
    </row>
    <row r="86" spans="1:8" x14ac:dyDescent="0.25">
      <c r="A86">
        <v>3010</v>
      </c>
      <c r="B86" t="s">
        <v>82</v>
      </c>
      <c r="C86">
        <v>-3</v>
      </c>
      <c r="D86">
        <f>VLOOKUP(A86,[1]Sheet1!A:M,13,FALSE)</f>
        <v>0</v>
      </c>
      <c r="H86" s="4">
        <f t="shared" si="2"/>
        <v>-3</v>
      </c>
    </row>
    <row r="87" spans="1:8" x14ac:dyDescent="0.25">
      <c r="A87">
        <v>3015</v>
      </c>
      <c r="B87" t="s">
        <v>83</v>
      </c>
      <c r="C87">
        <v>-10532</v>
      </c>
      <c r="D87">
        <f>VLOOKUP(A87,[1]Sheet1!A:M,13,FALSE)</f>
        <v>3244</v>
      </c>
      <c r="H87" s="4">
        <f t="shared" si="2"/>
        <v>-7288</v>
      </c>
    </row>
    <row r="88" spans="1:8" x14ac:dyDescent="0.25">
      <c r="A88">
        <v>3020</v>
      </c>
      <c r="B88" t="s">
        <v>84</v>
      </c>
      <c r="C88">
        <v>-1</v>
      </c>
      <c r="D88">
        <f>VLOOKUP(A88,[1]Sheet1!A:M,13,FALSE)</f>
        <v>0</v>
      </c>
      <c r="H88" s="4">
        <f t="shared" si="2"/>
        <v>-1</v>
      </c>
    </row>
    <row r="89" spans="1:8" x14ac:dyDescent="0.25">
      <c r="A89">
        <v>3025</v>
      </c>
      <c r="B89" t="s">
        <v>85</v>
      </c>
      <c r="C89">
        <v>-6391</v>
      </c>
      <c r="D89">
        <f>VLOOKUP(A89,[1]Sheet1!A:M,13,FALSE)</f>
        <v>0</v>
      </c>
      <c r="H89" s="4">
        <f t="shared" si="2"/>
        <v>-6391</v>
      </c>
    </row>
    <row r="90" spans="1:8" x14ac:dyDescent="0.25">
      <c r="A90">
        <v>3030</v>
      </c>
      <c r="B90" t="s">
        <v>86</v>
      </c>
      <c r="C90">
        <v>-1</v>
      </c>
      <c r="D90">
        <f>VLOOKUP(A90,[1]Sheet1!A:M,13,FALSE)</f>
        <v>0</v>
      </c>
      <c r="H90" s="4">
        <f t="shared" si="2"/>
        <v>-1</v>
      </c>
    </row>
    <row r="91" spans="1:8" x14ac:dyDescent="0.25">
      <c r="A91">
        <v>3032</v>
      </c>
      <c r="B91" t="s">
        <v>87</v>
      </c>
      <c r="C91">
        <v>154</v>
      </c>
      <c r="D91">
        <f>VLOOKUP(A91,[1]Sheet1!A:M,13,FALSE)</f>
        <v>0</v>
      </c>
      <c r="H91" s="4">
        <f t="shared" si="2"/>
        <v>154</v>
      </c>
    </row>
    <row r="92" spans="1:8" x14ac:dyDescent="0.25">
      <c r="A92">
        <v>3035</v>
      </c>
      <c r="B92" t="s">
        <v>88</v>
      </c>
      <c r="C92">
        <v>-9999</v>
      </c>
      <c r="D92">
        <f>VLOOKUP(A92,[1]Sheet1!A:M,13,FALSE)</f>
        <v>0</v>
      </c>
      <c r="H92" s="4">
        <f t="shared" si="2"/>
        <v>-9999</v>
      </c>
    </row>
    <row r="93" spans="1:8" x14ac:dyDescent="0.25">
      <c r="A93">
        <v>3040</v>
      </c>
      <c r="B93" t="s">
        <v>89</v>
      </c>
      <c r="C93">
        <v>-1</v>
      </c>
      <c r="D93">
        <f>VLOOKUP(A93,[1]Sheet1!A:M,13,FALSE)</f>
        <v>0</v>
      </c>
      <c r="H93" s="4">
        <f t="shared" si="2"/>
        <v>-1</v>
      </c>
    </row>
    <row r="94" spans="1:8" x14ac:dyDescent="0.25">
      <c r="A94">
        <v>3042</v>
      </c>
      <c r="B94" t="s">
        <v>90</v>
      </c>
      <c r="C94">
        <v>153</v>
      </c>
      <c r="D94">
        <f>VLOOKUP(A94,[1]Sheet1!A:M,13,FALSE)</f>
        <v>0</v>
      </c>
      <c r="H94" s="4">
        <f t="shared" si="2"/>
        <v>153</v>
      </c>
    </row>
    <row r="95" spans="1:8" x14ac:dyDescent="0.25">
      <c r="A95">
        <v>3045</v>
      </c>
      <c r="B95" t="s">
        <v>91</v>
      </c>
      <c r="C95">
        <v>-33160</v>
      </c>
      <c r="D95">
        <f>VLOOKUP(A95,[1]Sheet1!A:M,13,FALSE)</f>
        <v>0</v>
      </c>
      <c r="H95" s="4">
        <f t="shared" si="2"/>
        <v>-33160</v>
      </c>
    </row>
    <row r="96" spans="1:8" x14ac:dyDescent="0.25">
      <c r="A96">
        <v>3046</v>
      </c>
      <c r="B96" t="s">
        <v>92</v>
      </c>
      <c r="C96">
        <v>0</v>
      </c>
      <c r="D96">
        <f>VLOOKUP(A96,[1]Sheet1!A:M,13,FALSE)</f>
        <v>0</v>
      </c>
      <c r="H96" s="4">
        <f t="shared" si="2"/>
        <v>0</v>
      </c>
    </row>
    <row r="97" spans="1:8" x14ac:dyDescent="0.25">
      <c r="A97">
        <v>3048</v>
      </c>
      <c r="B97" t="s">
        <v>93</v>
      </c>
      <c r="C97">
        <v>84</v>
      </c>
      <c r="D97">
        <f>VLOOKUP(A97,[1]Sheet1!A:M,13,FALSE)</f>
        <v>0</v>
      </c>
      <c r="H97" s="4">
        <f t="shared" si="2"/>
        <v>84</v>
      </c>
    </row>
    <row r="98" spans="1:8" x14ac:dyDescent="0.25">
      <c r="A98">
        <v>3049</v>
      </c>
      <c r="B98" t="s">
        <v>94</v>
      </c>
      <c r="C98">
        <v>-55525</v>
      </c>
      <c r="D98">
        <f>VLOOKUP(A98,[1]Sheet1!A:M,13,FALSE)</f>
        <v>-3000</v>
      </c>
      <c r="H98" s="4">
        <f t="shared" si="2"/>
        <v>-58525</v>
      </c>
    </row>
    <row r="99" spans="1:8" x14ac:dyDescent="0.25">
      <c r="A99">
        <v>3060</v>
      </c>
      <c r="B99" t="s">
        <v>95</v>
      </c>
      <c r="C99">
        <v>-6</v>
      </c>
      <c r="D99">
        <f>VLOOKUP(A99,[1]Sheet1!A:M,13,FALSE)</f>
        <v>0</v>
      </c>
      <c r="H99" s="4">
        <f t="shared" si="2"/>
        <v>-6</v>
      </c>
    </row>
    <row r="100" spans="1:8" x14ac:dyDescent="0.25">
      <c r="A100">
        <v>3090</v>
      </c>
      <c r="B100" t="s">
        <v>96</v>
      </c>
      <c r="C100" s="4">
        <v>168666</v>
      </c>
      <c r="D100">
        <f>67-7408</f>
        <v>-7341</v>
      </c>
      <c r="H100" s="4">
        <f t="shared" si="2"/>
        <v>161325</v>
      </c>
    </row>
    <row r="101" spans="1:8" x14ac:dyDescent="0.25">
      <c r="A101">
        <v>5400</v>
      </c>
      <c r="B101" t="s">
        <v>99</v>
      </c>
      <c r="C101">
        <v>0</v>
      </c>
      <c r="H101" s="4">
        <f t="shared" si="2"/>
        <v>0</v>
      </c>
    </row>
    <row r="102" spans="1:8" x14ac:dyDescent="0.25">
      <c r="A102">
        <v>5850</v>
      </c>
      <c r="B102" t="s">
        <v>103</v>
      </c>
      <c r="C102">
        <v>5</v>
      </c>
      <c r="H102" s="4">
        <f t="shared" si="2"/>
        <v>5</v>
      </c>
    </row>
    <row r="103" spans="1:8" x14ac:dyDescent="0.25">
      <c r="A103">
        <v>6000</v>
      </c>
      <c r="B103" t="s">
        <v>108</v>
      </c>
      <c r="C103">
        <v>2023</v>
      </c>
      <c r="H103" s="4">
        <f t="shared" si="2"/>
        <v>2023</v>
      </c>
    </row>
    <row r="104" spans="1:8" x14ac:dyDescent="0.25">
      <c r="A104">
        <v>6040</v>
      </c>
      <c r="B104" t="s">
        <v>109</v>
      </c>
      <c r="C104">
        <v>-26</v>
      </c>
      <c r="H104" s="4">
        <f t="shared" si="2"/>
        <v>-26</v>
      </c>
    </row>
    <row r="105" spans="1:8" x14ac:dyDescent="0.25">
      <c r="A105">
        <v>6045</v>
      </c>
      <c r="B105" t="s">
        <v>110</v>
      </c>
      <c r="C105">
        <v>199</v>
      </c>
      <c r="H105" s="4">
        <f t="shared" si="2"/>
        <v>199</v>
      </c>
    </row>
    <row r="106" spans="1:8" x14ac:dyDescent="0.25">
      <c r="A106">
        <v>6065</v>
      </c>
      <c r="B106" t="s">
        <v>111</v>
      </c>
      <c r="C106">
        <v>101</v>
      </c>
      <c r="H106" s="4">
        <f t="shared" ref="H106:H137" si="3">SUM(C106:G106)</f>
        <v>101</v>
      </c>
    </row>
    <row r="107" spans="1:8" x14ac:dyDescent="0.25">
      <c r="A107">
        <v>6070</v>
      </c>
      <c r="B107" t="s">
        <v>112</v>
      </c>
      <c r="C107">
        <v>29</v>
      </c>
      <c r="H107" s="4">
        <f t="shared" si="3"/>
        <v>29</v>
      </c>
    </row>
    <row r="108" spans="1:8" x14ac:dyDescent="0.25">
      <c r="A108">
        <v>6200</v>
      </c>
      <c r="B108" t="s">
        <v>116</v>
      </c>
      <c r="C108">
        <v>26</v>
      </c>
      <c r="H108" s="4">
        <f t="shared" si="3"/>
        <v>26</v>
      </c>
    </row>
    <row r="109" spans="1:8" x14ac:dyDescent="0.25">
      <c r="A109">
        <v>6300</v>
      </c>
      <c r="B109" t="s">
        <v>117</v>
      </c>
      <c r="C109">
        <v>-2</v>
      </c>
      <c r="H109" s="4">
        <f t="shared" si="3"/>
        <v>-2</v>
      </c>
    </row>
    <row r="110" spans="1:8" x14ac:dyDescent="0.25">
      <c r="A110">
        <v>6305</v>
      </c>
      <c r="B110" t="s">
        <v>118</v>
      </c>
      <c r="C110">
        <v>0</v>
      </c>
      <c r="H110" s="4">
        <f t="shared" si="3"/>
        <v>0</v>
      </c>
    </row>
    <row r="111" spans="1:8" x14ac:dyDescent="0.25">
      <c r="A111">
        <v>7500</v>
      </c>
      <c r="B111" t="s">
        <v>120</v>
      </c>
      <c r="C111">
        <v>-1</v>
      </c>
      <c r="H111" s="4">
        <f t="shared" si="3"/>
        <v>-1</v>
      </c>
    </row>
    <row r="112" spans="1:8" x14ac:dyDescent="0.25">
      <c r="A112">
        <v>7505</v>
      </c>
      <c r="B112" t="s">
        <v>121</v>
      </c>
      <c r="C112">
        <v>400</v>
      </c>
      <c r="H112" s="4">
        <f t="shared" si="3"/>
        <v>400</v>
      </c>
    </row>
    <row r="113" spans="1:8" x14ac:dyDescent="0.25">
      <c r="A113">
        <v>7515</v>
      </c>
      <c r="B113" t="s">
        <v>123</v>
      </c>
      <c r="C113">
        <v>32</v>
      </c>
      <c r="H113" s="4">
        <f t="shared" si="3"/>
        <v>32</v>
      </c>
    </row>
    <row r="114" spans="1:8" x14ac:dyDescent="0.25">
      <c r="A114">
        <v>7525</v>
      </c>
      <c r="B114" t="s">
        <v>125</v>
      </c>
      <c r="C114">
        <v>3</v>
      </c>
      <c r="H114" s="4">
        <f t="shared" si="3"/>
        <v>3</v>
      </c>
    </row>
    <row r="115" spans="1:8" x14ac:dyDescent="0.25">
      <c r="A115">
        <v>7530</v>
      </c>
      <c r="B115" t="s">
        <v>126</v>
      </c>
      <c r="C115">
        <v>268</v>
      </c>
      <c r="H115" s="4">
        <f t="shared" si="3"/>
        <v>268</v>
      </c>
    </row>
    <row r="116" spans="1:8" x14ac:dyDescent="0.25">
      <c r="A116">
        <v>7540</v>
      </c>
      <c r="B116" t="s">
        <v>129</v>
      </c>
      <c r="C116">
        <v>9</v>
      </c>
      <c r="H116" s="4">
        <f t="shared" si="3"/>
        <v>9</v>
      </c>
    </row>
    <row r="117" spans="1:8" x14ac:dyDescent="0.25">
      <c r="A117">
        <v>7550</v>
      </c>
      <c r="B117" t="s">
        <v>131</v>
      </c>
      <c r="C117">
        <v>6</v>
      </c>
      <c r="H117" s="4">
        <f t="shared" si="3"/>
        <v>6</v>
      </c>
    </row>
    <row r="118" spans="1:8" x14ac:dyDescent="0.25">
      <c r="A118">
        <v>7555</v>
      </c>
      <c r="B118" t="s">
        <v>132</v>
      </c>
      <c r="C118">
        <v>112</v>
      </c>
      <c r="H118" s="4">
        <f t="shared" si="3"/>
        <v>112</v>
      </c>
    </row>
    <row r="119" spans="1:8" x14ac:dyDescent="0.25">
      <c r="A119">
        <v>7800</v>
      </c>
      <c r="B119" t="s">
        <v>134</v>
      </c>
      <c r="C119">
        <v>394</v>
      </c>
      <c r="E119">
        <f>-E22</f>
        <v>0</v>
      </c>
      <c r="H119" s="4">
        <f t="shared" si="3"/>
        <v>394</v>
      </c>
    </row>
    <row r="120" spans="1:8" x14ac:dyDescent="0.25">
      <c r="A120">
        <v>7825</v>
      </c>
      <c r="B120" t="s">
        <v>138</v>
      </c>
      <c r="C120">
        <v>44</v>
      </c>
      <c r="H120" s="4">
        <f t="shared" si="3"/>
        <v>44</v>
      </c>
    </row>
    <row r="121" spans="1:8" x14ac:dyDescent="0.25">
      <c r="A121">
        <v>7830</v>
      </c>
      <c r="B121" t="s">
        <v>139</v>
      </c>
      <c r="C121">
        <v>4</v>
      </c>
      <c r="H121" s="4">
        <f t="shared" si="3"/>
        <v>4</v>
      </c>
    </row>
    <row r="122" spans="1:8" x14ac:dyDescent="0.25">
      <c r="A122">
        <v>7835</v>
      </c>
      <c r="B122" t="s">
        <v>141</v>
      </c>
      <c r="C122">
        <v>2</v>
      </c>
      <c r="H122" s="4">
        <f t="shared" si="3"/>
        <v>2</v>
      </c>
    </row>
    <row r="123" spans="1:8" x14ac:dyDescent="0.25">
      <c r="A123">
        <v>7840</v>
      </c>
      <c r="B123" t="s">
        <v>142</v>
      </c>
      <c r="C123">
        <v>81</v>
      </c>
      <c r="H123" s="4">
        <f t="shared" si="3"/>
        <v>81</v>
      </c>
    </row>
    <row r="124" spans="1:8" x14ac:dyDescent="0.25">
      <c r="A124">
        <v>7845</v>
      </c>
      <c r="B124" t="s">
        <v>143</v>
      </c>
      <c r="C124">
        <v>51</v>
      </c>
      <c r="H124" s="4">
        <f t="shared" si="3"/>
        <v>51</v>
      </c>
    </row>
    <row r="125" spans="1:8" x14ac:dyDescent="0.25">
      <c r="A125">
        <v>7846</v>
      </c>
      <c r="B125" t="s">
        <v>144</v>
      </c>
      <c r="C125">
        <v>24</v>
      </c>
      <c r="H125" s="4">
        <f t="shared" si="3"/>
        <v>24</v>
      </c>
    </row>
    <row r="126" spans="1:8" x14ac:dyDescent="0.25">
      <c r="A126">
        <v>7847</v>
      </c>
      <c r="B126" t="s">
        <v>145</v>
      </c>
      <c r="C126">
        <v>7</v>
      </c>
      <c r="H126" s="4">
        <f t="shared" si="3"/>
        <v>7</v>
      </c>
    </row>
    <row r="127" spans="1:8" x14ac:dyDescent="0.25">
      <c r="A127">
        <v>7851</v>
      </c>
      <c r="B127" t="s">
        <v>147</v>
      </c>
      <c r="C127">
        <v>1</v>
      </c>
      <c r="H127" s="4">
        <f t="shared" si="3"/>
        <v>1</v>
      </c>
    </row>
    <row r="128" spans="1:8" x14ac:dyDescent="0.25">
      <c r="A128">
        <v>7870</v>
      </c>
      <c r="B128" t="s">
        <v>149</v>
      </c>
      <c r="C128">
        <v>5</v>
      </c>
      <c r="H128" s="4">
        <f t="shared" si="3"/>
        <v>5</v>
      </c>
    </row>
    <row r="129" spans="1:8" x14ac:dyDescent="0.25">
      <c r="A129">
        <v>7875</v>
      </c>
      <c r="B129" t="s">
        <v>150</v>
      </c>
      <c r="C129">
        <v>5</v>
      </c>
      <c r="H129" s="4">
        <f t="shared" si="3"/>
        <v>5</v>
      </c>
    </row>
    <row r="130" spans="1:8" x14ac:dyDescent="0.25">
      <c r="A130">
        <v>8015</v>
      </c>
      <c r="B130" t="s">
        <v>153</v>
      </c>
      <c r="C130">
        <v>542</v>
      </c>
      <c r="H130" s="4">
        <f t="shared" si="3"/>
        <v>542</v>
      </c>
    </row>
    <row r="131" spans="1:8" x14ac:dyDescent="0.25">
      <c r="A131">
        <v>8100</v>
      </c>
      <c r="B131" t="s">
        <v>157</v>
      </c>
      <c r="C131">
        <v>2</v>
      </c>
      <c r="H131" s="4">
        <f t="shared" si="3"/>
        <v>2</v>
      </c>
    </row>
    <row r="132" spans="1:8" x14ac:dyDescent="0.25">
      <c r="A132">
        <v>8115</v>
      </c>
      <c r="B132" t="s">
        <v>160</v>
      </c>
      <c r="C132">
        <v>-47</v>
      </c>
      <c r="H132" s="4">
        <f t="shared" si="3"/>
        <v>-47</v>
      </c>
    </row>
    <row r="133" spans="1:8" x14ac:dyDescent="0.25">
      <c r="A133">
        <v>8125</v>
      </c>
      <c r="B133" t="s">
        <v>163</v>
      </c>
      <c r="C133">
        <v>-322</v>
      </c>
      <c r="H133" s="4">
        <f t="shared" si="3"/>
        <v>-322</v>
      </c>
    </row>
    <row r="134" spans="1:8" x14ac:dyDescent="0.25">
      <c r="A134">
        <v>8200</v>
      </c>
      <c r="B134" t="s">
        <v>169</v>
      </c>
      <c r="C134">
        <v>22</v>
      </c>
      <c r="H134" s="4">
        <f t="shared" si="3"/>
        <v>22</v>
      </c>
    </row>
    <row r="135" spans="1:8" x14ac:dyDescent="0.25">
      <c r="A135">
        <v>8205</v>
      </c>
      <c r="B135" t="s">
        <v>170</v>
      </c>
      <c r="C135">
        <v>19</v>
      </c>
      <c r="H135" s="4">
        <f t="shared" si="3"/>
        <v>19</v>
      </c>
    </row>
    <row r="136" spans="1:8" x14ac:dyDescent="0.25">
      <c r="A136">
        <v>8300</v>
      </c>
      <c r="B136" t="s">
        <v>171</v>
      </c>
      <c r="C136">
        <v>6</v>
      </c>
      <c r="H136" s="4">
        <f t="shared" si="3"/>
        <v>6</v>
      </c>
    </row>
    <row r="137" spans="1:8" x14ac:dyDescent="0.25">
      <c r="A137">
        <v>8301</v>
      </c>
      <c r="B137" t="s">
        <v>172</v>
      </c>
      <c r="C137">
        <v>7</v>
      </c>
      <c r="H137" s="4">
        <f t="shared" si="3"/>
        <v>7</v>
      </c>
    </row>
    <row r="138" spans="1:8" x14ac:dyDescent="0.25">
      <c r="A138">
        <v>8305</v>
      </c>
      <c r="B138" t="s">
        <v>174</v>
      </c>
      <c r="C138">
        <v>15</v>
      </c>
      <c r="H138" s="4">
        <f t="shared" ref="H138:H169" si="4">SUM(C138:G138)</f>
        <v>15</v>
      </c>
    </row>
    <row r="139" spans="1:8" x14ac:dyDescent="0.25">
      <c r="A139">
        <v>8310</v>
      </c>
      <c r="B139" t="s">
        <v>176</v>
      </c>
      <c r="C139">
        <v>2</v>
      </c>
      <c r="H139" s="4">
        <f t="shared" si="4"/>
        <v>2</v>
      </c>
    </row>
    <row r="140" spans="1:8" x14ac:dyDescent="0.25">
      <c r="A140">
        <v>8315</v>
      </c>
      <c r="B140" t="s">
        <v>177</v>
      </c>
      <c r="C140">
        <v>2</v>
      </c>
      <c r="H140" s="4">
        <f t="shared" si="4"/>
        <v>2</v>
      </c>
    </row>
    <row r="141" spans="1:8" x14ac:dyDescent="0.25">
      <c r="A141">
        <v>8401</v>
      </c>
      <c r="B141" t="s">
        <v>178</v>
      </c>
      <c r="C141">
        <v>8</v>
      </c>
      <c r="H141" s="4">
        <f t="shared" si="4"/>
        <v>8</v>
      </c>
    </row>
    <row r="142" spans="1:8" x14ac:dyDescent="0.25">
      <c r="A142">
        <v>8405</v>
      </c>
      <c r="B142" t="s">
        <v>179</v>
      </c>
      <c r="C142">
        <v>11</v>
      </c>
      <c r="H142" s="4">
        <f t="shared" si="4"/>
        <v>11</v>
      </c>
    </row>
    <row r="143" spans="1:8" x14ac:dyDescent="0.25">
      <c r="A143">
        <v>8406</v>
      </c>
      <c r="B143" t="s">
        <v>180</v>
      </c>
      <c r="C143">
        <v>10</v>
      </c>
      <c r="H143" s="4">
        <f t="shared" si="4"/>
        <v>10</v>
      </c>
    </row>
    <row r="144" spans="1:8" x14ac:dyDescent="0.25">
      <c r="A144">
        <v>8410</v>
      </c>
      <c r="B144" t="s">
        <v>181</v>
      </c>
      <c r="C144">
        <v>1</v>
      </c>
      <c r="H144" s="4">
        <f t="shared" si="4"/>
        <v>1</v>
      </c>
    </row>
    <row r="145" spans="1:8" x14ac:dyDescent="0.25">
      <c r="A145">
        <v>8415</v>
      </c>
      <c r="B145" t="s">
        <v>182</v>
      </c>
      <c r="C145">
        <v>1</v>
      </c>
      <c r="H145" s="4">
        <f t="shared" si="4"/>
        <v>1</v>
      </c>
    </row>
    <row r="146" spans="1:8" x14ac:dyDescent="0.25">
      <c r="A146">
        <v>8420</v>
      </c>
      <c r="B146" t="s">
        <v>183</v>
      </c>
      <c r="C146">
        <v>2</v>
      </c>
      <c r="H146" s="4">
        <f t="shared" si="4"/>
        <v>2</v>
      </c>
    </row>
    <row r="147" spans="1:8" x14ac:dyDescent="0.25">
      <c r="A147">
        <v>8425</v>
      </c>
      <c r="B147" t="s">
        <v>184</v>
      </c>
      <c r="C147">
        <v>3</v>
      </c>
      <c r="H147" s="4">
        <f t="shared" si="4"/>
        <v>3</v>
      </c>
    </row>
    <row r="148" spans="1:8" x14ac:dyDescent="0.25">
      <c r="A148">
        <v>8505</v>
      </c>
      <c r="B148" t="s">
        <v>187</v>
      </c>
      <c r="C148">
        <v>8</v>
      </c>
      <c r="H148" s="4">
        <f t="shared" si="4"/>
        <v>8</v>
      </c>
    </row>
    <row r="149" spans="1:8" x14ac:dyDescent="0.25">
      <c r="A149">
        <v>8550</v>
      </c>
      <c r="B149" t="s">
        <v>188</v>
      </c>
      <c r="C149">
        <v>0</v>
      </c>
      <c r="H149" s="4">
        <f t="shared" si="4"/>
        <v>0</v>
      </c>
    </row>
    <row r="150" spans="1:8" x14ac:dyDescent="0.25">
      <c r="A150">
        <v>8600</v>
      </c>
      <c r="B150" t="s">
        <v>189</v>
      </c>
      <c r="C150">
        <v>40</v>
      </c>
      <c r="H150" s="4">
        <f t="shared" si="4"/>
        <v>40</v>
      </c>
    </row>
    <row r="151" spans="1:8" x14ac:dyDescent="0.25">
      <c r="A151">
        <v>8605</v>
      </c>
      <c r="B151" t="s">
        <v>190</v>
      </c>
      <c r="C151">
        <v>1</v>
      </c>
      <c r="H151" s="4">
        <f t="shared" si="4"/>
        <v>1</v>
      </c>
    </row>
    <row r="152" spans="1:8" x14ac:dyDescent="0.25">
      <c r="A152">
        <v>8607</v>
      </c>
      <c r="B152" t="s">
        <v>191</v>
      </c>
      <c r="C152">
        <v>2</v>
      </c>
      <c r="H152" s="4">
        <f t="shared" si="4"/>
        <v>2</v>
      </c>
    </row>
    <row r="153" spans="1:8" x14ac:dyDescent="0.25">
      <c r="A153">
        <v>8610</v>
      </c>
      <c r="B153" t="s">
        <v>192</v>
      </c>
      <c r="C153">
        <v>0</v>
      </c>
      <c r="H153" s="4">
        <f t="shared" si="4"/>
        <v>0</v>
      </c>
    </row>
    <row r="154" spans="1:8" x14ac:dyDescent="0.25">
      <c r="A154">
        <v>8710</v>
      </c>
      <c r="B154" t="s">
        <v>194</v>
      </c>
      <c r="C154">
        <v>0</v>
      </c>
      <c r="H154" s="4">
        <f t="shared" si="4"/>
        <v>0</v>
      </c>
    </row>
    <row r="155" spans="1:8" x14ac:dyDescent="0.25">
      <c r="A155">
        <v>8720</v>
      </c>
      <c r="B155" t="s">
        <v>196</v>
      </c>
      <c r="C155">
        <v>6</v>
      </c>
      <c r="H155" s="4">
        <f t="shared" si="4"/>
        <v>6</v>
      </c>
    </row>
    <row r="156" spans="1:8" x14ac:dyDescent="0.25">
      <c r="A156">
        <v>8725</v>
      </c>
      <c r="B156" t="s">
        <v>197</v>
      </c>
      <c r="C156">
        <v>87</v>
      </c>
      <c r="F156">
        <v>46</v>
      </c>
      <c r="H156" s="4">
        <f t="shared" si="4"/>
        <v>133</v>
      </c>
    </row>
    <row r="157" spans="1:8" x14ac:dyDescent="0.25">
      <c r="A157">
        <v>8800</v>
      </c>
      <c r="B157" t="s">
        <v>198</v>
      </c>
      <c r="C157">
        <v>65</v>
      </c>
      <c r="F157">
        <v>-16</v>
      </c>
      <c r="H157" s="4">
        <f t="shared" si="4"/>
        <v>49</v>
      </c>
    </row>
    <row r="158" spans="1:8" x14ac:dyDescent="0.25">
      <c r="A158">
        <v>8805</v>
      </c>
      <c r="B158" t="s">
        <v>199</v>
      </c>
      <c r="C158">
        <v>0</v>
      </c>
      <c r="H158" s="4">
        <f t="shared" si="4"/>
        <v>0</v>
      </c>
    </row>
    <row r="159" spans="1:8" x14ac:dyDescent="0.25">
      <c r="A159">
        <v>8899</v>
      </c>
      <c r="B159" t="s">
        <v>201</v>
      </c>
      <c r="C159">
        <v>196</v>
      </c>
      <c r="F159">
        <v>-216</v>
      </c>
      <c r="H159" s="4">
        <f t="shared" si="4"/>
        <v>-20</v>
      </c>
    </row>
    <row r="160" spans="1:8" x14ac:dyDescent="0.25">
      <c r="A160">
        <v>9105</v>
      </c>
      <c r="B160" t="s">
        <v>209</v>
      </c>
      <c r="C160">
        <v>1</v>
      </c>
      <c r="H160" s="4">
        <f t="shared" si="4"/>
        <v>1</v>
      </c>
    </row>
    <row r="161" spans="1:8" x14ac:dyDescent="0.25">
      <c r="A161">
        <v>9991</v>
      </c>
      <c r="B161" t="s">
        <v>212</v>
      </c>
      <c r="C161">
        <v>72</v>
      </c>
      <c r="H161" s="4">
        <f t="shared" si="4"/>
        <v>72</v>
      </c>
    </row>
    <row r="162" spans="1:8" x14ac:dyDescent="0.25">
      <c r="A162">
        <v>9996</v>
      </c>
      <c r="B162" t="s">
        <v>213</v>
      </c>
      <c r="C162">
        <v>86</v>
      </c>
      <c r="H162" s="4">
        <f t="shared" si="4"/>
        <v>86</v>
      </c>
    </row>
    <row r="163" spans="1:8" x14ac:dyDescent="0.25">
      <c r="A163">
        <v>9999</v>
      </c>
      <c r="B163" t="s">
        <v>214</v>
      </c>
      <c r="C163">
        <v>2</v>
      </c>
      <c r="F163">
        <v>-1</v>
      </c>
      <c r="H163" s="4">
        <f t="shared" si="4"/>
        <v>1</v>
      </c>
    </row>
    <row r="164" spans="1:8" x14ac:dyDescent="0.25">
      <c r="A164">
        <v>6100</v>
      </c>
      <c r="B164" t="s">
        <v>281</v>
      </c>
      <c r="C164">
        <v>0</v>
      </c>
      <c r="H164" s="4">
        <f t="shared" si="4"/>
        <v>0</v>
      </c>
    </row>
    <row r="165" spans="1:8" x14ac:dyDescent="0.25">
      <c r="A165">
        <v>8050</v>
      </c>
      <c r="B165" t="s">
        <v>283</v>
      </c>
      <c r="C165">
        <v>0</v>
      </c>
      <c r="H165" s="4">
        <f t="shared" si="4"/>
        <v>0</v>
      </c>
    </row>
    <row r="166" spans="1:8" x14ac:dyDescent="0.25">
      <c r="A166">
        <v>7855</v>
      </c>
      <c r="B166" t="s">
        <v>282</v>
      </c>
      <c r="C166">
        <v>1</v>
      </c>
      <c r="H166" s="4">
        <f t="shared" si="4"/>
        <v>1</v>
      </c>
    </row>
    <row r="167" spans="1:8" x14ac:dyDescent="0.25">
      <c r="A167">
        <v>9983</v>
      </c>
      <c r="B167" t="s">
        <v>287</v>
      </c>
      <c r="C167">
        <v>1</v>
      </c>
      <c r="H167" s="4">
        <f t="shared" si="4"/>
        <v>1</v>
      </c>
    </row>
    <row r="168" spans="1:8" x14ac:dyDescent="0.25">
      <c r="A168">
        <v>9985</v>
      </c>
      <c r="B168" t="s">
        <v>288</v>
      </c>
      <c r="C168">
        <v>1</v>
      </c>
      <c r="H168" s="4">
        <f t="shared" si="4"/>
        <v>1</v>
      </c>
    </row>
    <row r="169" spans="1:8" x14ac:dyDescent="0.25">
      <c r="A169">
        <v>9982</v>
      </c>
      <c r="B169" t="s">
        <v>286</v>
      </c>
      <c r="C169">
        <v>2</v>
      </c>
      <c r="H169" s="4">
        <f t="shared" si="4"/>
        <v>2</v>
      </c>
    </row>
    <row r="170" spans="1:8" x14ac:dyDescent="0.25">
      <c r="A170">
        <v>8302</v>
      </c>
      <c r="B170" t="s">
        <v>284</v>
      </c>
      <c r="C170">
        <v>3</v>
      </c>
      <c r="H170" s="4">
        <f t="shared" ref="H170:H174" si="5">SUM(C170:G170)</f>
        <v>3</v>
      </c>
    </row>
    <row r="171" spans="1:8" x14ac:dyDescent="0.25">
      <c r="A171">
        <v>9992</v>
      </c>
      <c r="B171" t="s">
        <v>290</v>
      </c>
      <c r="C171">
        <v>4</v>
      </c>
      <c r="H171" s="4">
        <f t="shared" si="5"/>
        <v>4</v>
      </c>
    </row>
    <row r="172" spans="1:8" x14ac:dyDescent="0.25">
      <c r="A172">
        <v>8306</v>
      </c>
      <c r="B172" t="s">
        <v>285</v>
      </c>
      <c r="C172">
        <v>8</v>
      </c>
      <c r="H172" s="4">
        <f t="shared" si="5"/>
        <v>8</v>
      </c>
    </row>
    <row r="173" spans="1:8" x14ac:dyDescent="0.25">
      <c r="A173">
        <v>9987</v>
      </c>
      <c r="B173" t="s">
        <v>289</v>
      </c>
      <c r="C173">
        <v>8</v>
      </c>
      <c r="H173" s="4">
        <f t="shared" si="5"/>
        <v>8</v>
      </c>
    </row>
    <row r="174" spans="1:8" x14ac:dyDescent="0.25">
      <c r="A174">
        <v>9994</v>
      </c>
      <c r="B174" t="s">
        <v>291</v>
      </c>
      <c r="C174">
        <v>9</v>
      </c>
      <c r="H174" s="4">
        <f t="shared" si="5"/>
        <v>9</v>
      </c>
    </row>
  </sheetData>
  <sortState ref="A164:T174">
    <sortCondition ref="H164:H1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CF</vt:lpstr>
      <vt:lpstr>TB</vt:lpstr>
      <vt:lpstr>TB jan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Danise Yam</dc:creator>
  <cp:lastModifiedBy>Danise Yam</cp:lastModifiedBy>
  <dcterms:created xsi:type="dcterms:W3CDTF">2013-02-12T07:44:16Z</dcterms:created>
  <dcterms:modified xsi:type="dcterms:W3CDTF">2013-02-12T19:59:55Z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fc8a4bf6-20c3-4374-b8ef-64dca7a08719</vt:lpwstr>
  </property>
  <property fmtid="{D5CDD505-2E9C-101B-9397-08002B2CF9AE}" pid="3" name="TheranosClassification">
    <vt:lpwstr>Public</vt:lpwstr>
  </property>
</Properties>
</file>