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Finance\Department\5 Bank and financial matters\2013\2013 Tax\Sent to Moss Adams\"/>
    </mc:Choice>
  </mc:AlternateContent>
  <bookViews>
    <workbookView xWindow="0" yWindow="0" windowWidth="28800" windowHeight="12135" firstSheet="1" activeTab="7"/>
  </bookViews>
  <sheets>
    <sheet name="Expense 2013" sheetId="12" state="hidden" r:id="rId1"/>
    <sheet name="TB consol" sheetId="4" r:id="rId2"/>
    <sheet name="TB consol 2012" sheetId="11" state="hidden" r:id="rId3"/>
    <sheet name="TB Inc 123113" sheetId="1" r:id="rId4"/>
    <sheet name="TB cayman 123113" sheetId="2" r:id="rId5"/>
    <sheet name="TB protegic 123113" sheetId="3" r:id="rId6"/>
    <sheet name="2-BS" sheetId="5" r:id="rId7"/>
    <sheet name="3-Ops" sheetId="6" r:id="rId8"/>
  </sheets>
  <externalReferences>
    <externalReference r:id="rId9"/>
  </externalReferences>
  <definedNames>
    <definedName name="Z_2AE572EE_DDBC_4BF5_9EAE_AE9315A8CDD8_.wvu.PrintArea" localSheetId="6" hidden="1">'2-BS'!$A$1:$O$43</definedName>
    <definedName name="Z_2AE572EE_DDBC_4BF5_9EAE_AE9315A8CDD8_.wvu.PrintArea" localSheetId="7" hidden="1">'3-Ops'!$A$1:$O$14</definedName>
    <definedName name="Z_2C4758C2_E8B3_4D03_BE35_769B97CDDCC7_.wvu.PrintArea" localSheetId="6" hidden="1">'2-BS'!$A$1:$O$43</definedName>
    <definedName name="Z_2C4758C2_E8B3_4D03_BE35_769B97CDDCC7_.wvu.PrintArea" localSheetId="7" hidden="1">'3-Ops'!$A$1:$O$14</definedName>
    <definedName name="Z_46F976B5_C9D8_4621_939D_CB54A1F78793_.wvu.PrintArea" localSheetId="6" hidden="1">'2-BS'!$A$1:$O$43</definedName>
    <definedName name="Z_46F976B5_C9D8_4621_939D_CB54A1F78793_.wvu.PrintArea" localSheetId="7" hidden="1">'3-Ops'!$A$1:$O$14</definedName>
  </definedNames>
  <calcPr calcId="152511"/>
  <pivotCaches>
    <pivotCache cacheId="3" r:id="rId10"/>
  </pivotCaches>
</workbook>
</file>

<file path=xl/calcChain.xml><?xml version="1.0" encoding="utf-8"?>
<calcChain xmlns="http://schemas.openxmlformats.org/spreadsheetml/2006/main">
  <c r="I12" i="6" l="1"/>
  <c r="I11" i="6"/>
  <c r="I9" i="6"/>
  <c r="I8" i="6"/>
  <c r="I7" i="6"/>
  <c r="B2" i="12"/>
  <c r="B3" i="12"/>
  <c r="B5" i="12"/>
  <c r="B4" i="12"/>
  <c r="K8" i="6" l="1"/>
  <c r="K9" i="6" s="1"/>
  <c r="K7" i="6"/>
  <c r="I10" i="6"/>
  <c r="I13" i="6" s="1"/>
  <c r="I12" i="5"/>
  <c r="K38" i="5"/>
  <c r="F105" i="4"/>
  <c r="F193" i="4" s="1"/>
  <c r="D107" i="4" l="1"/>
  <c r="I241" i="4"/>
  <c r="I242" i="4"/>
  <c r="I243" i="4"/>
  <c r="I244" i="4"/>
  <c r="I245" i="4"/>
  <c r="I246" i="4"/>
  <c r="D10" i="11" l="1"/>
  <c r="E10" i="11"/>
  <c r="F10" i="11"/>
  <c r="D11" i="11"/>
  <c r="E11" i="11"/>
  <c r="F11" i="11"/>
  <c r="D12" i="11"/>
  <c r="E12" i="11"/>
  <c r="F12" i="11"/>
  <c r="D13" i="11"/>
  <c r="E13" i="11"/>
  <c r="F13" i="11"/>
  <c r="D16" i="11"/>
  <c r="E16" i="11"/>
  <c r="F16" i="11"/>
  <c r="D18" i="11"/>
  <c r="E18" i="11"/>
  <c r="F18" i="11"/>
  <c r="D19" i="11"/>
  <c r="E19" i="11"/>
  <c r="F19" i="11"/>
  <c r="D20" i="11"/>
  <c r="E20" i="11"/>
  <c r="F20" i="11"/>
  <c r="D21" i="11"/>
  <c r="E21" i="11"/>
  <c r="F21" i="11"/>
  <c r="D22" i="11"/>
  <c r="E22" i="11"/>
  <c r="F22" i="11"/>
  <c r="D23" i="11"/>
  <c r="E23" i="11"/>
  <c r="F23" i="11"/>
  <c r="D24" i="11"/>
  <c r="E24" i="11"/>
  <c r="F24" i="11"/>
  <c r="D25" i="11"/>
  <c r="E25" i="11"/>
  <c r="F25" i="11"/>
  <c r="D26" i="11"/>
  <c r="E26" i="11"/>
  <c r="F26" i="11"/>
  <c r="D28" i="11"/>
  <c r="E28" i="11"/>
  <c r="F28" i="11"/>
  <c r="D29" i="11"/>
  <c r="E29" i="11"/>
  <c r="F29" i="11"/>
  <c r="D30" i="11"/>
  <c r="E30" i="11"/>
  <c r="F30" i="11"/>
  <c r="D31" i="11"/>
  <c r="E31" i="11"/>
  <c r="F31" i="11"/>
  <c r="D32" i="11"/>
  <c r="E32" i="11"/>
  <c r="F32" i="11"/>
  <c r="D33" i="11"/>
  <c r="E33" i="11"/>
  <c r="F33" i="11"/>
  <c r="D34" i="11"/>
  <c r="E34" i="11"/>
  <c r="F34" i="11"/>
  <c r="D35" i="11"/>
  <c r="E35" i="11"/>
  <c r="F35" i="11"/>
  <c r="D36" i="11"/>
  <c r="E36" i="11"/>
  <c r="F36" i="11"/>
  <c r="D37" i="11"/>
  <c r="E37" i="11"/>
  <c r="F37" i="11"/>
  <c r="D38" i="11"/>
  <c r="E38" i="11"/>
  <c r="F38" i="11"/>
  <c r="D39" i="11"/>
  <c r="E39" i="11"/>
  <c r="F39" i="11"/>
  <c r="D40" i="11"/>
  <c r="E40" i="11"/>
  <c r="F40" i="11"/>
  <c r="D41" i="11"/>
  <c r="E41" i="11"/>
  <c r="F41" i="11"/>
  <c r="D42" i="11"/>
  <c r="E42" i="11"/>
  <c r="F42" i="11"/>
  <c r="D44" i="11"/>
  <c r="E44" i="11"/>
  <c r="F44" i="11"/>
  <c r="D45" i="11"/>
  <c r="E45" i="11"/>
  <c r="F45" i="11"/>
  <c r="D46" i="11"/>
  <c r="E46" i="11"/>
  <c r="F46" i="11"/>
  <c r="D47" i="11"/>
  <c r="E47" i="11"/>
  <c r="F47" i="11"/>
  <c r="D48" i="11"/>
  <c r="E48" i="11"/>
  <c r="F48" i="11"/>
  <c r="D49" i="11"/>
  <c r="E49" i="11"/>
  <c r="F49" i="11"/>
  <c r="D50" i="11"/>
  <c r="E50" i="11"/>
  <c r="F50" i="11"/>
  <c r="D51" i="11"/>
  <c r="E51" i="11"/>
  <c r="F51" i="11"/>
  <c r="D52" i="11"/>
  <c r="E52" i="11"/>
  <c r="F52" i="11"/>
  <c r="D53" i="11"/>
  <c r="E53" i="11"/>
  <c r="F53" i="11"/>
  <c r="D54" i="11"/>
  <c r="E54" i="11"/>
  <c r="F54" i="11"/>
  <c r="D55" i="11"/>
  <c r="E55" i="11"/>
  <c r="F55" i="11"/>
  <c r="D56" i="11"/>
  <c r="E56" i="11"/>
  <c r="F56" i="11"/>
  <c r="D57" i="11"/>
  <c r="E57" i="11"/>
  <c r="F57" i="11"/>
  <c r="D58" i="11"/>
  <c r="E58" i="11"/>
  <c r="F58" i="11"/>
  <c r="D59" i="11"/>
  <c r="E59" i="11"/>
  <c r="F59" i="11"/>
  <c r="D60" i="11"/>
  <c r="E60" i="11"/>
  <c r="F60" i="11"/>
  <c r="D61" i="11"/>
  <c r="E61" i="11"/>
  <c r="F61" i="11"/>
  <c r="D62" i="11"/>
  <c r="E62" i="11"/>
  <c r="F62" i="11"/>
  <c r="D63" i="11"/>
  <c r="E63" i="11"/>
  <c r="F63" i="11"/>
  <c r="D64" i="11"/>
  <c r="E64" i="11"/>
  <c r="F64" i="11"/>
  <c r="D65" i="11"/>
  <c r="E65" i="11"/>
  <c r="F65" i="11"/>
  <c r="D66" i="11"/>
  <c r="E66" i="11"/>
  <c r="F66" i="11"/>
  <c r="D67" i="11"/>
  <c r="E67" i="11"/>
  <c r="F67" i="11"/>
  <c r="D68" i="11"/>
  <c r="E68" i="11"/>
  <c r="F68" i="11"/>
  <c r="D69" i="11"/>
  <c r="E69" i="11"/>
  <c r="F69" i="11"/>
  <c r="D70" i="11"/>
  <c r="E70" i="11"/>
  <c r="F70" i="11"/>
  <c r="D71" i="11"/>
  <c r="E71" i="11"/>
  <c r="F71" i="11"/>
  <c r="D72" i="11"/>
  <c r="E72" i="11"/>
  <c r="F72" i="11"/>
  <c r="D73" i="11"/>
  <c r="E73" i="11"/>
  <c r="F73" i="11"/>
  <c r="D74" i="11"/>
  <c r="E74" i="11"/>
  <c r="F74" i="11"/>
  <c r="D75" i="11"/>
  <c r="E75" i="11"/>
  <c r="F75" i="11"/>
  <c r="D76" i="11"/>
  <c r="E76" i="11"/>
  <c r="F76" i="11"/>
  <c r="D77" i="11"/>
  <c r="E77" i="11"/>
  <c r="F77" i="11"/>
  <c r="D78" i="11"/>
  <c r="E78" i="11"/>
  <c r="F78" i="11"/>
  <c r="D79" i="11"/>
  <c r="E79" i="11"/>
  <c r="F79" i="11"/>
  <c r="D80" i="11"/>
  <c r="E80" i="11"/>
  <c r="F80" i="11"/>
  <c r="D81" i="11"/>
  <c r="E81" i="11"/>
  <c r="F81" i="11"/>
  <c r="D82" i="11"/>
  <c r="E82" i="11"/>
  <c r="F82" i="11"/>
  <c r="D83" i="11"/>
  <c r="E83" i="11"/>
  <c r="F83" i="11"/>
  <c r="D84" i="11"/>
  <c r="E84" i="11"/>
  <c r="F84" i="11"/>
  <c r="D85" i="11"/>
  <c r="E85" i="11"/>
  <c r="F85" i="11"/>
  <c r="D86" i="11"/>
  <c r="E86" i="11"/>
  <c r="F86" i="11"/>
  <c r="D87" i="11"/>
  <c r="E87" i="11"/>
  <c r="F87" i="11"/>
  <c r="D88" i="11"/>
  <c r="E88" i="11"/>
  <c r="F88" i="11"/>
  <c r="D89" i="11"/>
  <c r="E89" i="11"/>
  <c r="F89" i="11"/>
  <c r="D90" i="11"/>
  <c r="E90" i="11"/>
  <c r="F90" i="11"/>
  <c r="D91" i="11"/>
  <c r="E91" i="11"/>
  <c r="F91" i="11"/>
  <c r="D92" i="11"/>
  <c r="E92" i="11"/>
  <c r="F92" i="11"/>
  <c r="D93" i="11"/>
  <c r="E93" i="11"/>
  <c r="F93" i="11"/>
  <c r="D94" i="11"/>
  <c r="E94" i="11"/>
  <c r="F94" i="11"/>
  <c r="D95" i="11"/>
  <c r="E95" i="11"/>
  <c r="F95" i="11"/>
  <c r="D97" i="11"/>
  <c r="E97" i="11"/>
  <c r="F97" i="11"/>
  <c r="D98" i="11"/>
  <c r="E98" i="11"/>
  <c r="F98" i="11"/>
  <c r="D99" i="11"/>
  <c r="E99" i="11"/>
  <c r="F99" i="11"/>
  <c r="D100" i="11"/>
  <c r="E100" i="11"/>
  <c r="F100" i="11"/>
  <c r="D101" i="11"/>
  <c r="E101" i="11"/>
  <c r="F101" i="11"/>
  <c r="D102" i="11"/>
  <c r="E102" i="11"/>
  <c r="F102" i="11"/>
  <c r="D103" i="11"/>
  <c r="E103" i="11"/>
  <c r="F103" i="11"/>
  <c r="D104" i="11"/>
  <c r="E104" i="11"/>
  <c r="F104" i="11"/>
  <c r="D105" i="11"/>
  <c r="E105" i="11"/>
  <c r="F105" i="11"/>
  <c r="D106" i="11"/>
  <c r="E106" i="11"/>
  <c r="F106" i="11"/>
  <c r="D107" i="11"/>
  <c r="E107" i="11"/>
  <c r="F107" i="11"/>
  <c r="D108" i="11"/>
  <c r="E108" i="11"/>
  <c r="F108" i="11"/>
  <c r="D109" i="11"/>
  <c r="E109" i="11"/>
  <c r="F109" i="11"/>
  <c r="D110" i="11"/>
  <c r="E110" i="11"/>
  <c r="F110" i="11"/>
  <c r="D111" i="11"/>
  <c r="E111" i="11"/>
  <c r="F111" i="11"/>
  <c r="D112" i="11"/>
  <c r="E112" i="11"/>
  <c r="F112" i="11"/>
  <c r="D113" i="11"/>
  <c r="E113" i="11"/>
  <c r="F113" i="11"/>
  <c r="D114" i="11"/>
  <c r="E114" i="11"/>
  <c r="F114" i="11"/>
  <c r="D115" i="11"/>
  <c r="E115" i="11"/>
  <c r="F115" i="11"/>
  <c r="D116" i="11"/>
  <c r="E116" i="11"/>
  <c r="F116" i="11"/>
  <c r="D117" i="11"/>
  <c r="E117" i="11"/>
  <c r="F117" i="11"/>
  <c r="D118" i="11"/>
  <c r="E118" i="11"/>
  <c r="F118" i="11"/>
  <c r="D119" i="11"/>
  <c r="E119" i="11"/>
  <c r="F119" i="11"/>
  <c r="D120" i="11"/>
  <c r="E120" i="11"/>
  <c r="F120" i="11"/>
  <c r="D121" i="11"/>
  <c r="E121" i="11"/>
  <c r="F121" i="11"/>
  <c r="D122" i="11"/>
  <c r="E122" i="11"/>
  <c r="F122" i="11"/>
  <c r="D123" i="11"/>
  <c r="E123" i="11"/>
  <c r="F123" i="11"/>
  <c r="D124" i="11"/>
  <c r="E124" i="11"/>
  <c r="F124" i="11"/>
  <c r="D126" i="11"/>
  <c r="E126" i="11"/>
  <c r="F126" i="11"/>
  <c r="D127" i="11"/>
  <c r="E127" i="11"/>
  <c r="F127" i="11"/>
  <c r="D128" i="11"/>
  <c r="E128" i="11"/>
  <c r="F128" i="11"/>
  <c r="D129" i="11"/>
  <c r="E129" i="11"/>
  <c r="F129" i="11"/>
  <c r="D130" i="11"/>
  <c r="E130" i="11"/>
  <c r="F130" i="11"/>
  <c r="D131" i="11"/>
  <c r="E131" i="11"/>
  <c r="F131" i="11"/>
  <c r="D132" i="11"/>
  <c r="E132" i="11"/>
  <c r="F132" i="11"/>
  <c r="D134" i="11"/>
  <c r="E134" i="11"/>
  <c r="F134" i="11"/>
  <c r="D135" i="11"/>
  <c r="E135" i="11"/>
  <c r="F135" i="11"/>
  <c r="D136" i="11"/>
  <c r="E136" i="11"/>
  <c r="F136" i="11"/>
  <c r="D137" i="11"/>
  <c r="E137" i="11"/>
  <c r="F137" i="11"/>
  <c r="D138" i="11"/>
  <c r="E138" i="11"/>
  <c r="F138" i="11"/>
  <c r="D140" i="11"/>
  <c r="E140" i="11"/>
  <c r="F140" i="11"/>
  <c r="D141" i="11"/>
  <c r="E141" i="11"/>
  <c r="F141" i="11"/>
  <c r="D142" i="11"/>
  <c r="E142" i="11"/>
  <c r="F142" i="11"/>
  <c r="D143" i="11"/>
  <c r="E143" i="11"/>
  <c r="F143" i="11"/>
  <c r="D144" i="11"/>
  <c r="E144" i="11"/>
  <c r="F144" i="11"/>
  <c r="D145" i="11"/>
  <c r="E145" i="11"/>
  <c r="F145" i="11"/>
  <c r="D146" i="11"/>
  <c r="E146" i="11"/>
  <c r="F146" i="11"/>
  <c r="D147" i="11"/>
  <c r="E147" i="11"/>
  <c r="F147" i="11"/>
  <c r="D148" i="11"/>
  <c r="E148" i="11"/>
  <c r="F148" i="11"/>
  <c r="D149" i="11"/>
  <c r="E149" i="11"/>
  <c r="F149" i="11"/>
  <c r="D150" i="11"/>
  <c r="E150" i="11"/>
  <c r="F150" i="11"/>
  <c r="D151" i="11"/>
  <c r="E151" i="11"/>
  <c r="F151" i="11"/>
  <c r="D152" i="11"/>
  <c r="E152" i="11"/>
  <c r="F152" i="11"/>
  <c r="D153" i="11"/>
  <c r="E153" i="11"/>
  <c r="F153" i="11"/>
  <c r="D154" i="11"/>
  <c r="E154" i="11"/>
  <c r="F154" i="11"/>
  <c r="D155" i="11"/>
  <c r="E155" i="11"/>
  <c r="F155" i="11"/>
  <c r="D156" i="11"/>
  <c r="E156" i="11"/>
  <c r="F156" i="11"/>
  <c r="D158" i="11"/>
  <c r="E158" i="11"/>
  <c r="F158" i="11"/>
  <c r="D159" i="11"/>
  <c r="E159" i="11"/>
  <c r="F159" i="11"/>
  <c r="D160" i="11"/>
  <c r="E160" i="11"/>
  <c r="F160" i="11"/>
  <c r="D161" i="11"/>
  <c r="E161" i="11"/>
  <c r="F161" i="11"/>
  <c r="D163" i="11"/>
  <c r="E163" i="11"/>
  <c r="F163" i="11"/>
  <c r="D164" i="11"/>
  <c r="E164" i="11"/>
  <c r="F164" i="11"/>
  <c r="D165" i="11"/>
  <c r="E165" i="11"/>
  <c r="F165" i="11"/>
  <c r="D166" i="11"/>
  <c r="E166" i="11"/>
  <c r="F166" i="11"/>
  <c r="D167" i="11"/>
  <c r="E167" i="11"/>
  <c r="F167" i="11"/>
  <c r="D168" i="11"/>
  <c r="E168" i="11"/>
  <c r="F168" i="11"/>
  <c r="D171" i="11"/>
  <c r="E171" i="11"/>
  <c r="F171" i="11"/>
  <c r="D172" i="11"/>
  <c r="E172" i="11"/>
  <c r="F172" i="11"/>
  <c r="D173" i="11"/>
  <c r="E173" i="11"/>
  <c r="F173" i="11"/>
  <c r="D174" i="11"/>
  <c r="E174" i="11"/>
  <c r="F174" i="11"/>
  <c r="D175" i="11"/>
  <c r="E175" i="11"/>
  <c r="F175" i="11"/>
  <c r="D176" i="11"/>
  <c r="E176" i="11"/>
  <c r="F176" i="11"/>
  <c r="D177" i="11"/>
  <c r="E177" i="11"/>
  <c r="F177" i="11"/>
  <c r="D178" i="11"/>
  <c r="E178" i="11"/>
  <c r="F178" i="11"/>
  <c r="D179" i="11"/>
  <c r="E179" i="11"/>
  <c r="F179" i="11"/>
  <c r="D180" i="11"/>
  <c r="E180" i="11"/>
  <c r="F180" i="11"/>
  <c r="D181" i="11"/>
  <c r="E181" i="11"/>
  <c r="F181" i="11"/>
  <c r="D182" i="11"/>
  <c r="E182" i="11"/>
  <c r="F182" i="11"/>
  <c r="D183" i="11"/>
  <c r="E183" i="11"/>
  <c r="F183" i="11"/>
  <c r="D184" i="11"/>
  <c r="E184" i="11"/>
  <c r="F184" i="11"/>
  <c r="D185" i="11"/>
  <c r="E185" i="11"/>
  <c r="F185" i="11"/>
  <c r="D186" i="11"/>
  <c r="E186" i="11"/>
  <c r="F186" i="11"/>
  <c r="D187" i="11"/>
  <c r="E187" i="11"/>
  <c r="F187" i="11"/>
  <c r="D188" i="11"/>
  <c r="E188" i="11"/>
  <c r="F188" i="11"/>
  <c r="D189" i="11"/>
  <c r="E189" i="11"/>
  <c r="F189" i="11"/>
  <c r="D190" i="11"/>
  <c r="E190" i="11"/>
  <c r="F190" i="11"/>
  <c r="D191" i="11"/>
  <c r="E191" i="11"/>
  <c r="F191" i="11"/>
  <c r="D192" i="11"/>
  <c r="E192" i="11"/>
  <c r="F192" i="11"/>
  <c r="D193" i="11"/>
  <c r="E193" i="11"/>
  <c r="F193" i="11"/>
  <c r="D194" i="11"/>
  <c r="E194" i="11"/>
  <c r="F194" i="11"/>
  <c r="D195" i="11"/>
  <c r="E195" i="11"/>
  <c r="F195" i="11"/>
  <c r="D196" i="11"/>
  <c r="E196" i="11"/>
  <c r="F196" i="11"/>
  <c r="D197" i="11"/>
  <c r="E197" i="11"/>
  <c r="F197" i="11"/>
  <c r="D198" i="11"/>
  <c r="E198" i="11"/>
  <c r="F198" i="11"/>
  <c r="D199" i="11"/>
  <c r="E199" i="11"/>
  <c r="F199" i="11"/>
  <c r="D200" i="11"/>
  <c r="E200" i="11"/>
  <c r="F200" i="11"/>
  <c r="D201" i="11"/>
  <c r="E201" i="11"/>
  <c r="F201" i="11"/>
  <c r="D202" i="11"/>
  <c r="E202" i="11"/>
  <c r="F202" i="11"/>
  <c r="D203" i="11"/>
  <c r="E203" i="11"/>
  <c r="F203" i="11"/>
  <c r="D204" i="11"/>
  <c r="E204" i="11"/>
  <c r="F204" i="11"/>
  <c r="D205" i="11"/>
  <c r="E205" i="11"/>
  <c r="F205" i="11"/>
  <c r="D206" i="11"/>
  <c r="E206" i="11"/>
  <c r="F206" i="11"/>
  <c r="D207" i="11"/>
  <c r="E207" i="11"/>
  <c r="F207" i="11"/>
  <c r="D214" i="11"/>
  <c r="E214" i="11"/>
  <c r="F214" i="11"/>
  <c r="D215" i="11"/>
  <c r="E215" i="11"/>
  <c r="F215" i="11"/>
  <c r="D217" i="11"/>
  <c r="E217" i="11"/>
  <c r="F217" i="11"/>
  <c r="D218" i="11"/>
  <c r="E218" i="11"/>
  <c r="F218" i="11"/>
  <c r="D8" i="11"/>
  <c r="E8" i="11"/>
  <c r="F8" i="11"/>
  <c r="D14" i="11"/>
  <c r="E14" i="11"/>
  <c r="F14" i="11"/>
  <c r="D15" i="11"/>
  <c r="E15" i="11"/>
  <c r="F15" i="11"/>
  <c r="D17" i="11"/>
  <c r="E17" i="11"/>
  <c r="F17" i="11"/>
  <c r="D27" i="11"/>
  <c r="E27" i="11"/>
  <c r="F27" i="11"/>
  <c r="D43" i="11"/>
  <c r="E43" i="11"/>
  <c r="F43" i="11"/>
  <c r="D96" i="11"/>
  <c r="E96" i="11"/>
  <c r="F96" i="11"/>
  <c r="D125" i="11"/>
  <c r="E125" i="11"/>
  <c r="F125" i="11"/>
  <c r="D133" i="11"/>
  <c r="E133" i="11"/>
  <c r="F133" i="11"/>
  <c r="D139" i="11"/>
  <c r="E139" i="11"/>
  <c r="F139" i="11"/>
  <c r="D157" i="11"/>
  <c r="E157" i="11"/>
  <c r="F157" i="11"/>
  <c r="D162" i="11"/>
  <c r="E162" i="11"/>
  <c r="F162" i="11"/>
  <c r="D169" i="11"/>
  <c r="E169" i="11"/>
  <c r="F169" i="11"/>
  <c r="D170" i="11"/>
  <c r="E170" i="11"/>
  <c r="F170" i="11"/>
  <c r="D208" i="11"/>
  <c r="E208" i="11"/>
  <c r="F208" i="11"/>
  <c r="D209" i="11"/>
  <c r="E209" i="11"/>
  <c r="F209" i="11"/>
  <c r="D210" i="11"/>
  <c r="E210" i="11"/>
  <c r="F210" i="11"/>
  <c r="D211" i="11"/>
  <c r="E211" i="11"/>
  <c r="F211" i="11"/>
  <c r="D212" i="11"/>
  <c r="E212" i="11"/>
  <c r="F212" i="11"/>
  <c r="D213" i="11"/>
  <c r="E213" i="11"/>
  <c r="F213" i="11"/>
  <c r="D216" i="11"/>
  <c r="E216" i="11"/>
  <c r="F216" i="11"/>
  <c r="F9" i="11"/>
  <c r="E9" i="11"/>
  <c r="D9" i="11"/>
  <c r="G24" i="4"/>
  <c r="H174" i="11" l="1"/>
  <c r="H216" i="11"/>
  <c r="H68" i="11"/>
  <c r="H131" i="11"/>
  <c r="H124" i="11"/>
  <c r="H100" i="11"/>
  <c r="H92" i="11"/>
  <c r="H60" i="11"/>
  <c r="H36" i="11"/>
  <c r="H28" i="11"/>
  <c r="H211" i="11"/>
  <c r="H195" i="11"/>
  <c r="H190" i="11"/>
  <c r="H168" i="11"/>
  <c r="H152" i="11"/>
  <c r="H147" i="11"/>
  <c r="H213" i="11"/>
  <c r="H212" i="11"/>
  <c r="H210" i="11"/>
  <c r="H209" i="11"/>
  <c r="H208" i="11"/>
  <c r="H170" i="11"/>
  <c r="H169" i="11"/>
  <c r="H162" i="11"/>
  <c r="H157" i="11"/>
  <c r="H139" i="11"/>
  <c r="H133" i="11"/>
  <c r="H125" i="11"/>
  <c r="H96" i="11"/>
  <c r="H43" i="11"/>
  <c r="H27" i="11"/>
  <c r="H17" i="11"/>
  <c r="H15" i="11"/>
  <c r="K12" i="5" s="1"/>
  <c r="H14" i="11"/>
  <c r="H8" i="11"/>
  <c r="H218" i="11"/>
  <c r="H217" i="11"/>
  <c r="H215" i="11"/>
  <c r="H214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4" i="11"/>
  <c r="H193" i="11"/>
  <c r="H192" i="11"/>
  <c r="H191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3" i="11"/>
  <c r="H172" i="11"/>
  <c r="H171" i="11"/>
  <c r="H167" i="11"/>
  <c r="H166" i="11"/>
  <c r="H165" i="11"/>
  <c r="H164" i="11"/>
  <c r="H163" i="11"/>
  <c r="H161" i="11"/>
  <c r="H160" i="11"/>
  <c r="H159" i="11"/>
  <c r="H158" i="11"/>
  <c r="H156" i="11"/>
  <c r="H155" i="11"/>
  <c r="H154" i="11"/>
  <c r="H153" i="11"/>
  <c r="H151" i="11"/>
  <c r="H150" i="11"/>
  <c r="H149" i="11"/>
  <c r="H148" i="11"/>
  <c r="H146" i="11"/>
  <c r="H145" i="11"/>
  <c r="H144" i="11"/>
  <c r="H143" i="11"/>
  <c r="H142" i="11"/>
  <c r="H141" i="11"/>
  <c r="H140" i="11"/>
  <c r="H138" i="11"/>
  <c r="H137" i="11"/>
  <c r="H136" i="11"/>
  <c r="H135" i="11"/>
  <c r="H134" i="11"/>
  <c r="H132" i="11"/>
  <c r="H130" i="11"/>
  <c r="H129" i="11"/>
  <c r="H128" i="11"/>
  <c r="H127" i="11"/>
  <c r="H126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84" i="11"/>
  <c r="H76" i="11"/>
  <c r="H52" i="11"/>
  <c r="H44" i="11"/>
  <c r="H20" i="11"/>
  <c r="H101" i="11"/>
  <c r="H99" i="11"/>
  <c r="H98" i="11"/>
  <c r="H97" i="11"/>
  <c r="H95" i="11"/>
  <c r="H94" i="11"/>
  <c r="K40" i="5" s="1"/>
  <c r="H93" i="11"/>
  <c r="H91" i="11"/>
  <c r="H90" i="11"/>
  <c r="H89" i="11"/>
  <c r="H88" i="11"/>
  <c r="H87" i="11"/>
  <c r="H86" i="11"/>
  <c r="H85" i="11"/>
  <c r="H83" i="11"/>
  <c r="H82" i="11"/>
  <c r="H81" i="11"/>
  <c r="K36" i="5" s="1"/>
  <c r="H80" i="11"/>
  <c r="K32" i="5" s="1"/>
  <c r="H79" i="11"/>
  <c r="H78" i="11"/>
  <c r="H77" i="11"/>
  <c r="K27" i="5" s="1"/>
  <c r="H75" i="11"/>
  <c r="K24" i="5" s="1"/>
  <c r="H74" i="11"/>
  <c r="H73" i="11"/>
  <c r="K29" i="5" s="1"/>
  <c r="H72" i="11"/>
  <c r="K25" i="5" s="1"/>
  <c r="H71" i="11"/>
  <c r="K30" i="5" s="1"/>
  <c r="H70" i="11"/>
  <c r="H69" i="11"/>
  <c r="H67" i="11"/>
  <c r="H66" i="11"/>
  <c r="H65" i="11"/>
  <c r="H64" i="11"/>
  <c r="H63" i="11"/>
  <c r="H62" i="11"/>
  <c r="H61" i="11"/>
  <c r="H59" i="11"/>
  <c r="K20" i="5" s="1"/>
  <c r="H58" i="11"/>
  <c r="H57" i="11"/>
  <c r="H56" i="11"/>
  <c r="H55" i="11"/>
  <c r="H54" i="11"/>
  <c r="H53" i="11"/>
  <c r="H51" i="11"/>
  <c r="H50" i="11"/>
  <c r="H49" i="11"/>
  <c r="H48" i="11"/>
  <c r="H47" i="11"/>
  <c r="H46" i="11"/>
  <c r="H45" i="11"/>
  <c r="H42" i="11"/>
  <c r="H41" i="11"/>
  <c r="H40" i="11"/>
  <c r="H39" i="11"/>
  <c r="H38" i="11"/>
  <c r="H37" i="11"/>
  <c r="H35" i="11"/>
  <c r="H34" i="11"/>
  <c r="H33" i="11"/>
  <c r="H32" i="11"/>
  <c r="H31" i="11"/>
  <c r="H30" i="11"/>
  <c r="H29" i="11"/>
  <c r="H26" i="11"/>
  <c r="H25" i="11"/>
  <c r="H24" i="11"/>
  <c r="H23" i="11"/>
  <c r="H22" i="11"/>
  <c r="H21" i="11"/>
  <c r="H19" i="11"/>
  <c r="H18" i="11"/>
  <c r="H16" i="11"/>
  <c r="H13" i="11"/>
  <c r="H12" i="11"/>
  <c r="H11" i="11"/>
  <c r="H10" i="11"/>
  <c r="H9" i="11"/>
  <c r="K12" i="6"/>
  <c r="K11" i="6"/>
  <c r="M10" i="6"/>
  <c r="M13" i="6" s="1"/>
  <c r="Q9" i="6"/>
  <c r="Q10" i="6" s="1"/>
  <c r="Q13" i="6" s="1"/>
  <c r="O9" i="6"/>
  <c r="O10" i="6" s="1"/>
  <c r="O13" i="6" s="1"/>
  <c r="K10" i="6"/>
  <c r="Q41" i="5"/>
  <c r="O41" i="5"/>
  <c r="M39" i="5"/>
  <c r="O33" i="5"/>
  <c r="O42" i="5" s="1"/>
  <c r="M32" i="5"/>
  <c r="Q26" i="5"/>
  <c r="Q33" i="5" s="1"/>
  <c r="Q42" i="5" s="1"/>
  <c r="O26" i="5"/>
  <c r="M26" i="5"/>
  <c r="M33" i="5" s="1"/>
  <c r="M21" i="5"/>
  <c r="M17" i="5"/>
  <c r="M16" i="5"/>
  <c r="Q15" i="5"/>
  <c r="Q17" i="5" s="1"/>
  <c r="O15" i="5"/>
  <c r="O17" i="5" s="1"/>
  <c r="M15" i="5"/>
  <c r="K13" i="6" l="1"/>
  <c r="K39" i="5"/>
  <c r="K14" i="5"/>
  <c r="K13" i="5"/>
  <c r="K11" i="5"/>
  <c r="K31" i="5"/>
  <c r="K21" i="5"/>
  <c r="K16" i="5"/>
  <c r="K37" i="5"/>
  <c r="K10" i="5"/>
  <c r="M41" i="5"/>
  <c r="M42" i="5" s="1"/>
  <c r="K15" i="5" l="1"/>
  <c r="K17" i="5" s="1"/>
  <c r="K26" i="5"/>
  <c r="K33" i="5" s="1"/>
  <c r="K41" i="5"/>
  <c r="K42" i="5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10" i="1"/>
  <c r="G28" i="4" l="1"/>
  <c r="I28" i="4" s="1"/>
  <c r="G27" i="4"/>
  <c r="I27" i="4" s="1"/>
  <c r="G26" i="4"/>
  <c r="I26" i="4" s="1"/>
  <c r="G25" i="4"/>
  <c r="I12" i="4"/>
  <c r="I13" i="4"/>
  <c r="I14" i="4"/>
  <c r="I15" i="4"/>
  <c r="I16" i="4"/>
  <c r="I20" i="4"/>
  <c r="I21" i="4"/>
  <c r="I24" i="4"/>
  <c r="I29" i="4"/>
  <c r="I30" i="4"/>
  <c r="I31" i="4"/>
  <c r="I32" i="4"/>
  <c r="I33" i="4"/>
  <c r="I34" i="4"/>
  <c r="I35" i="4"/>
  <c r="I36" i="4"/>
  <c r="I37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5" i="4"/>
  <c r="I56" i="4"/>
  <c r="I57" i="4"/>
  <c r="I58" i="4"/>
  <c r="I59" i="4"/>
  <c r="I60" i="4"/>
  <c r="I61" i="4"/>
  <c r="I62" i="4"/>
  <c r="I63" i="4"/>
  <c r="I64" i="4"/>
  <c r="I65" i="4"/>
  <c r="I66" i="4"/>
  <c r="I18" i="4"/>
  <c r="I69" i="4"/>
  <c r="I70" i="4"/>
  <c r="I20" i="5" s="1"/>
  <c r="I71" i="4"/>
  <c r="I72" i="4"/>
  <c r="I73" i="4"/>
  <c r="I74" i="4"/>
  <c r="I75" i="4"/>
  <c r="I76" i="4"/>
  <c r="I77" i="4"/>
  <c r="I78" i="4"/>
  <c r="I79" i="4"/>
  <c r="I80" i="4"/>
  <c r="I81" i="4"/>
  <c r="I82" i="4"/>
  <c r="I30" i="5" s="1"/>
  <c r="I83" i="4"/>
  <c r="I25" i="5" s="1"/>
  <c r="I84" i="4"/>
  <c r="I29" i="5" s="1"/>
  <c r="I85" i="4"/>
  <c r="I86" i="4"/>
  <c r="I24" i="5" s="1"/>
  <c r="I87" i="4"/>
  <c r="I88" i="4"/>
  <c r="I27" i="5" s="1"/>
  <c r="I89" i="4"/>
  <c r="I90" i="4"/>
  <c r="I91" i="4"/>
  <c r="I32" i="5" s="1"/>
  <c r="I92" i="4"/>
  <c r="I36" i="5" s="1"/>
  <c r="I93" i="4"/>
  <c r="I98" i="4"/>
  <c r="I94" i="4"/>
  <c r="I99" i="4"/>
  <c r="I100" i="4"/>
  <c r="I95" i="4"/>
  <c r="I101" i="4"/>
  <c r="I102" i="4"/>
  <c r="I96" i="4"/>
  <c r="I103" i="4"/>
  <c r="I104" i="4"/>
  <c r="I105" i="4"/>
  <c r="I106" i="4"/>
  <c r="I40" i="5" s="1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8" i="4"/>
  <c r="I149" i="4"/>
  <c r="I150" i="4"/>
  <c r="I151" i="4"/>
  <c r="I152" i="4"/>
  <c r="I153" i="4"/>
  <c r="I154" i="4"/>
  <c r="I155" i="4"/>
  <c r="I157" i="4"/>
  <c r="I158" i="4"/>
  <c r="I159" i="4"/>
  <c r="I161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5" i="4"/>
  <c r="I186" i="4"/>
  <c r="I187" i="4"/>
  <c r="I188" i="4"/>
  <c r="I189" i="4"/>
  <c r="I190" i="4"/>
  <c r="I192" i="4"/>
  <c r="I193" i="4"/>
  <c r="I194" i="4"/>
  <c r="I195" i="4"/>
  <c r="I196" i="4"/>
  <c r="I197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7" i="4"/>
  <c r="I248" i="4"/>
  <c r="I250" i="4"/>
  <c r="I251" i="4"/>
  <c r="I252" i="4"/>
  <c r="I253" i="4"/>
  <c r="I254" i="4"/>
  <c r="I11" i="4"/>
  <c r="I10" i="5" l="1"/>
  <c r="I31" i="5"/>
  <c r="I37" i="5"/>
  <c r="I21" i="5"/>
  <c r="I26" i="5" s="1"/>
  <c r="I33" i="5" s="1"/>
  <c r="I16" i="5"/>
  <c r="I14" i="5"/>
  <c r="I13" i="5"/>
  <c r="I11" i="5"/>
  <c r="I25" i="4"/>
  <c r="G160" i="4"/>
  <c r="I160" i="4" s="1"/>
  <c r="E68" i="4"/>
  <c r="E107" i="4" s="1"/>
  <c r="I107" i="4" s="1"/>
  <c r="I39" i="5" s="1"/>
  <c r="E67" i="4"/>
  <c r="I67" i="4" s="1"/>
  <c r="I15" i="5" l="1"/>
  <c r="I17" i="5" s="1"/>
  <c r="I68" i="4"/>
  <c r="E97" i="4"/>
  <c r="I97" i="4" s="1"/>
  <c r="I38" i="5" s="1"/>
  <c r="I41" i="5" s="1"/>
  <c r="I42" i="5" s="1"/>
  <c r="C12" i="2" l="1"/>
  <c r="C14" i="2"/>
  <c r="C11" i="2"/>
  <c r="C16" i="2"/>
  <c r="C25" i="2" l="1"/>
</calcChain>
</file>

<file path=xl/sharedStrings.xml><?xml version="1.0" encoding="utf-8"?>
<sst xmlns="http://schemas.openxmlformats.org/spreadsheetml/2006/main" count="941" uniqueCount="424">
  <si>
    <t>gltbrp.p 2+</t>
  </si>
  <si>
    <t>25.15.4 Trial Balance</t>
  </si>
  <si>
    <t>Date</t>
  </si>
  <si>
    <t>: 08/08/14</t>
  </si>
  <si>
    <t>Page:    1</t>
  </si>
  <si>
    <t>Theranos Prod</t>
  </si>
  <si>
    <t>Time</t>
  </si>
  <si>
    <t>: 18:31:23</t>
  </si>
  <si>
    <t>Theranos, Inc.</t>
  </si>
  <si>
    <t>Reporting Curr</t>
  </si>
  <si>
    <t>Exchange Rate:</t>
  </si>
  <si>
    <t>Beginning Balance</t>
  </si>
  <si>
    <t>Ending Balance</t>
  </si>
  <si>
    <t>Account                D</t>
  </si>
  <si>
    <t>escription</t>
  </si>
  <si>
    <t>Adjust</t>
  </si>
  <si>
    <t>Balance</t>
  </si>
  <si>
    <t>-------------------</t>
  </si>
  <si>
    <t>-----------------</t>
  </si>
  <si>
    <t>--</t>
  </si>
  <si>
    <t>------</t>
  </si>
  <si>
    <t>-------</t>
  </si>
  <si>
    <t>Cash- CoAmerica Checking</t>
  </si>
  <si>
    <t>Cash-Comerica checking 2</t>
  </si>
  <si>
    <t>cr</t>
  </si>
  <si>
    <t>Cash - Morgan Stanley</t>
  </si>
  <si>
    <t>Cash - Fidelity</t>
  </si>
  <si>
    <t>Petty cash</t>
  </si>
  <si>
    <t>Short Term Inv - MS</t>
  </si>
  <si>
    <t>Intercompany receivable</t>
  </si>
  <si>
    <t>RM Device Stock</t>
  </si>
  <si>
    <t>WIP Device Stock</t>
  </si>
  <si>
    <t>RM Consumables Stock</t>
  </si>
  <si>
    <t>WIP Consumables Stock</t>
  </si>
  <si>
    <t>FG Consumables</t>
  </si>
  <si>
    <t>RM Chemicals Stock</t>
  </si>
  <si>
    <t>WIP Formulations Stock</t>
  </si>
  <si>
    <t>Inv Reserve - Readers</t>
  </si>
  <si>
    <t>Prepaid General - ST</t>
  </si>
  <si>
    <t>Prepaid Insurance - ST</t>
  </si>
  <si>
    <t>Prepaid Rent - ST</t>
  </si>
  <si>
    <t>Prepaid Property Taxes</t>
  </si>
  <si>
    <t>Prepaid For Amortization</t>
  </si>
  <si>
    <t>Interest Receivable</t>
  </si>
  <si>
    <t>Other Receivables</t>
  </si>
  <si>
    <t>Other receivable-clients</t>
  </si>
  <si>
    <t>Manual Payroll Check</t>
  </si>
  <si>
    <t>Deposits - ST</t>
  </si>
  <si>
    <t>Deposit - Retainer (Pat)</t>
  </si>
  <si>
    <t>Deposit - Jet</t>
  </si>
  <si>
    <t>FA-Machines &amp; Equipment</t>
  </si>
  <si>
    <t>FA-Manufacturing Machine</t>
  </si>
  <si>
    <t>FA-CLIA Machine</t>
  </si>
  <si>
    <t>FA-Office Equipment</t>
  </si>
  <si>
    <t>FA-furniture &amp; fixtures</t>
  </si>
  <si>
    <t>FA-Computer Hardware</t>
  </si>
  <si>
    <t>FA-Computer software</t>
  </si>
  <si>
    <t>FA-Leasehold Improvement</t>
  </si>
  <si>
    <t>FA - Vehicle</t>
  </si>
  <si>
    <t>FA - Manufactured Device</t>
  </si>
  <si>
    <t>FA - M&amp;E WIP</t>
  </si>
  <si>
    <t>FA - Leasehold Imp WIP</t>
  </si>
  <si>
    <t>FA-CLIA Machine WIP</t>
  </si>
  <si>
    <t>A/D Machines &amp; Equipment</t>
  </si>
  <si>
    <t>A/D - Manuf Machinery</t>
  </si>
  <si>
    <t>A/D CLIA Machine</t>
  </si>
  <si>
    <t>A/D Office Equipment</t>
  </si>
  <si>
    <t>A/D Furniture &amp; Fixtures</t>
  </si>
  <si>
    <t>A/D Computer Hardware</t>
  </si>
  <si>
    <t>A/D Computer Software</t>
  </si>
  <si>
    <t>A/DLeasehold improvement</t>
  </si>
  <si>
    <t>A/D - Vehicle</t>
  </si>
  <si>
    <t>A/D Manufactured Device</t>
  </si>
  <si>
    <t>_x000C_gltbrp.p 2+</t>
  </si>
  <si>
    <t>25.15.4 Trial Balanc</t>
  </si>
  <si>
    <t>Page:    2</t>
  </si>
  <si>
    <t>Investment in Subsidiary</t>
  </si>
  <si>
    <t>Restricted LT investment</t>
  </si>
  <si>
    <t>Note Receivable - LT</t>
  </si>
  <si>
    <t>Interest receivable - LT</t>
  </si>
  <si>
    <t>Deposits - LT</t>
  </si>
  <si>
    <t>Accounts Payable Trade</t>
  </si>
  <si>
    <t>Intercompany Payable</t>
  </si>
  <si>
    <t>PO Receipts - Inventory</t>
  </si>
  <si>
    <t>PO Receipts - Expenses</t>
  </si>
  <si>
    <t>AP Accrual</t>
  </si>
  <si>
    <t>Accrued Payroll</t>
  </si>
  <si>
    <t>Accrued Vacation</t>
  </si>
  <si>
    <t>Accrued P/R Taxes</t>
  </si>
  <si>
    <t>Accrued 401(K)</t>
  </si>
  <si>
    <t>Accrued Flex Spending</t>
  </si>
  <si>
    <t>Accrued Sales &amp; Used Tax</t>
  </si>
  <si>
    <t>Accrued use tax - Vendor</t>
  </si>
  <si>
    <t>Deferred Rents - ST</t>
  </si>
  <si>
    <t>Refundable Options</t>
  </si>
  <si>
    <t>Pref Stock Warrant Liab</t>
  </si>
  <si>
    <t>Deferred Revenues</t>
  </si>
  <si>
    <t>Royalty received</t>
  </si>
  <si>
    <t>Short-Term Debt</t>
  </si>
  <si>
    <t>Miscellaneous receipts</t>
  </si>
  <si>
    <t>Current Capital Leases</t>
  </si>
  <si>
    <t>Deferred Rent - LT</t>
  </si>
  <si>
    <t>Note Payable</t>
  </si>
  <si>
    <t>Note Interest Payable</t>
  </si>
  <si>
    <t>Capital Lease Obligation</t>
  </si>
  <si>
    <t>Common stock - A</t>
  </si>
  <si>
    <t>Add'l PIC - C/S - A</t>
  </si>
  <si>
    <t>Series A Preferred stock</t>
  </si>
  <si>
    <t>Add'l PIC - Series A</t>
  </si>
  <si>
    <t>Series B - Pref stock</t>
  </si>
  <si>
    <t>Series B Issuance costs</t>
  </si>
  <si>
    <t>Add'l PIC - Series B</t>
  </si>
  <si>
    <t>Series C - Pref Stocks</t>
  </si>
  <si>
    <t>Series C - Issuance cost</t>
  </si>
  <si>
    <t>Add'l PIC - Series C</t>
  </si>
  <si>
    <t>Series C-1 Pref stocks</t>
  </si>
  <si>
    <t>Series C-1 Issuance cost</t>
  </si>
  <si>
    <t>Add'l PIC - Series C-1</t>
  </si>
  <si>
    <t>Series C-2 Perf Stocks</t>
  </si>
  <si>
    <t>Unrealized gain/loss Inv</t>
  </si>
  <si>
    <t>Accum. Retained Earning</t>
  </si>
  <si>
    <t>Inventory Reserves</t>
  </si>
  <si>
    <t>Laboratory test</t>
  </si>
  <si>
    <t>Freight charges</t>
  </si>
  <si>
    <t>Cost Revalue</t>
  </si>
  <si>
    <t>Inventory discrepancies</t>
  </si>
  <si>
    <t>Floor Stock - Device</t>
  </si>
  <si>
    <t>Floor Stock</t>
  </si>
  <si>
    <t>Scrap Costs</t>
  </si>
  <si>
    <t>Rework</t>
  </si>
  <si>
    <t>Material Usage Variance</t>
  </si>
  <si>
    <t>Material Rate Variance</t>
  </si>
  <si>
    <t>Method Variance</t>
  </si>
  <si>
    <t>Subcontract Rate Var</t>
  </si>
  <si>
    <t>PO Price Variance</t>
  </si>
  <si>
    <t>AP Variance</t>
  </si>
  <si>
    <t>Labor - Applied</t>
  </si>
  <si>
    <t>OH applied - Cartridges</t>
  </si>
  <si>
    <t>Cost of Production</t>
  </si>
  <si>
    <t>Transfer Clearing</t>
  </si>
  <si>
    <t>Salaries &amp; Wages</t>
  </si>
  <si>
    <t>Accrued vacation PTO</t>
  </si>
  <si>
    <t>Payroll Taxes</t>
  </si>
  <si>
    <t>Worker's Compensation</t>
  </si>
  <si>
    <t>Health Insurance</t>
  </si>
  <si>
    <t>Staff Welfare</t>
  </si>
  <si>
    <t>Staff Welfare - others</t>
  </si>
  <si>
    <t>Other Fringe Beneftis</t>
  </si>
  <si>
    <t>Other benefits - Auto</t>
  </si>
  <si>
    <t>Other benefits - others</t>
  </si>
  <si>
    <t>Sales Commissions</t>
  </si>
  <si>
    <t>Consulting Services</t>
  </si>
  <si>
    <t>Director's fee</t>
  </si>
  <si>
    <t>Contractor/Temp InDirect</t>
  </si>
  <si>
    <t>Contractors/Temp Direct</t>
  </si>
  <si>
    <t>Depreciation Expense</t>
  </si>
  <si>
    <t>Gain/Loss On Disp Of FA</t>
  </si>
  <si>
    <t>Telephone / Fax</t>
  </si>
  <si>
    <t>Facility Rental</t>
  </si>
  <si>
    <t>Facility Utilities</t>
  </si>
  <si>
    <t>Facility Janitorial</t>
  </si>
  <si>
    <t>Facility Security</t>
  </si>
  <si>
    <t>Facility Repair/Maint</t>
  </si>
  <si>
    <t>Facility Fixtures</t>
  </si>
  <si>
    <t>Facility Structure</t>
  </si>
  <si>
    <t>Facility Licenses/permit</t>
  </si>
  <si>
    <t>Internet Connection</t>
  </si>
  <si>
    <t>Facility Property Tax</t>
  </si>
  <si>
    <t>Other Facility Costs</t>
  </si>
  <si>
    <t>Facility - moving</t>
  </si>
  <si>
    <t>R&amp;D Materials</t>
  </si>
  <si>
    <t>QA &amp; Test Lab Expenses</t>
  </si>
  <si>
    <t>Clinical Trial Expenses</t>
  </si>
  <si>
    <t>R&amp;D - Purchased Parts</t>
  </si>
  <si>
    <t>R&amp;D - Fabricated Parts</t>
  </si>
  <si>
    <t>Assembly charge</t>
  </si>
  <si>
    <t>R&amp;D - NRE charge</t>
  </si>
  <si>
    <t>R&amp;D - Catridge Supplies</t>
  </si>
  <si>
    <t>R&amp;D - Lab Supplies</t>
  </si>
  <si>
    <t>R&amp;D - Reagents</t>
  </si>
  <si>
    <t>R&amp;D - Antibodies</t>
  </si>
  <si>
    <t>R&amp;D - Human Blood prod</t>
  </si>
  <si>
    <t>R&amp;D - Human body parts</t>
  </si>
  <si>
    <t>R&amp;D - Chemcials</t>
  </si>
  <si>
    <t>R&amp;D - Regulated Chemical</t>
  </si>
  <si>
    <t>Purchased Software</t>
  </si>
  <si>
    <t>R&amp;D - Software Tools</t>
  </si>
  <si>
    <t>Freight in - R&amp;D</t>
  </si>
  <si>
    <t>Shipping and Handling</t>
  </si>
  <si>
    <t>R&amp;D inventory</t>
  </si>
  <si>
    <t>Training/Seminar/Confere</t>
  </si>
  <si>
    <t>Advertising</t>
  </si>
  <si>
    <t>Web Site</t>
  </si>
  <si>
    <t>Promotional Materials</t>
  </si>
  <si>
    <t>Trade Show &amp; Events</t>
  </si>
  <si>
    <t>Market Research</t>
  </si>
  <si>
    <t>Study cost</t>
  </si>
  <si>
    <t>Public Relations</t>
  </si>
  <si>
    <t>Account Services</t>
  </si>
  <si>
    <t>Tax Services</t>
  </si>
  <si>
    <t>Legal - General</t>
  </si>
  <si>
    <t>Legal - employment</t>
  </si>
  <si>
    <t>Legal - Litigation</t>
  </si>
  <si>
    <t>Legal - Patents</t>
  </si>
  <si>
    <t>Legal - Trademarks</t>
  </si>
  <si>
    <t>Legal - Regulatory</t>
  </si>
  <si>
    <t>Meals &amp; Entertainments</t>
  </si>
  <si>
    <t>Insurance - General</t>
  </si>
  <si>
    <t>Insurance - Prod Liab</t>
  </si>
  <si>
    <t>Expensed Equipment</t>
  </si>
  <si>
    <t>Expensed furn &amp; fixture</t>
  </si>
  <si>
    <t>Expensed mold</t>
  </si>
  <si>
    <t>Exp Eqt/computer Offsite</t>
  </si>
  <si>
    <t>IT - Computer supplies</t>
  </si>
  <si>
    <t>IT - Computer Inventory</t>
  </si>
  <si>
    <t>IT- Computer - LAN</t>
  </si>
  <si>
    <t>Software (Owned)</t>
  </si>
  <si>
    <t>Software Maint/license</t>
  </si>
  <si>
    <t>Equipment/ F&amp;F supplies</t>
  </si>
  <si>
    <t>Office Supplies</t>
  </si>
  <si>
    <t>Office services</t>
  </si>
  <si>
    <t>Shipping/Freight</t>
  </si>
  <si>
    <t>Handling/packaging</t>
  </si>
  <si>
    <t>Dues, Subscriptn &amp; Books</t>
  </si>
  <si>
    <t>Annual Maint / license</t>
  </si>
  <si>
    <t>Equip Repair / Maint</t>
  </si>
  <si>
    <t>Equipment Lease / Rental</t>
  </si>
  <si>
    <t>Relocation Expenses</t>
  </si>
  <si>
    <t>Recruiting expenses</t>
  </si>
  <si>
    <t>Bank Charges</t>
  </si>
  <si>
    <t>Finance charge</t>
  </si>
  <si>
    <t>Travel Expense - Air</t>
  </si>
  <si>
    <t>Travel expense - Air (J)</t>
  </si>
  <si>
    <t>Travel expense - Hotel</t>
  </si>
  <si>
    <t>Travel Expense - Auto</t>
  </si>
  <si>
    <t>Travel - Meals &amp; Entert</t>
  </si>
  <si>
    <t>Travel - Other</t>
  </si>
  <si>
    <t>Travel - Rental</t>
  </si>
  <si>
    <t>Payroll Processing Fee</t>
  </si>
  <si>
    <t>Charitable Contributions</t>
  </si>
  <si>
    <t>Miscellaneous Expenses</t>
  </si>
  <si>
    <t>Other Outside Services</t>
  </si>
  <si>
    <t>Supplies for MFG / OPS</t>
  </si>
  <si>
    <t>Feight in - Non Inv</t>
  </si>
  <si>
    <t>Quality control</t>
  </si>
  <si>
    <t>Inventory (Exp)</t>
  </si>
  <si>
    <t>Interest Income</t>
  </si>
  <si>
    <t>Interest expenses</t>
  </si>
  <si>
    <t>Income tax - States</t>
  </si>
  <si>
    <t>CC Allocation - Jonathan</t>
  </si>
  <si>
    <t>CC allocation - Finance</t>
  </si>
  <si>
    <t>CC Allocation - Callie</t>
  </si>
  <si>
    <t>Suspense</t>
  </si>
  <si>
    <t>--------------------</t>
  </si>
  <si>
    <t>------------------</t>
  </si>
  <si>
    <t>====================</t>
  </si>
  <si>
    <t>==================</t>
  </si>
  <si>
    <t>==</t>
  </si>
  <si>
    <t>End of Report</t>
  </si>
  <si>
    <t>Report Criteria:</t>
  </si>
  <si>
    <t>Report Su</t>
  </si>
  <si>
    <t>bmitted By:       dyam</t>
  </si>
  <si>
    <t>Output: text</t>
  </si>
  <si>
    <t>Batch ID:</t>
  </si>
  <si>
    <t>Summary</t>
  </si>
  <si>
    <t>ency:   USD</t>
  </si>
  <si>
    <t>Period Activity</t>
  </si>
  <si>
    <t>Account</t>
  </si>
  <si>
    <t>Description</t>
  </si>
  <si>
    <t>----- ------------------------</t>
  </si>
  <si>
    <t>Prepaid Royalty</t>
  </si>
  <si>
    <t>e Summary</t>
  </si>
  <si>
    <t>Description: Theranos, Inc.</t>
  </si>
  <si>
    <t>Beg</t>
  </si>
  <si>
    <t>inning Date: 01/01/13</t>
  </si>
  <si>
    <t>Ending Date: 12/31/13</t>
  </si>
  <si>
    <t>Summarize S</t>
  </si>
  <si>
    <t>ub-Accounts: Yes</t>
  </si>
  <si>
    <t>Summarize C</t>
  </si>
  <si>
    <t>ost Centers: Yes</t>
  </si>
  <si>
    <t>Currency: USD</t>
  </si>
  <si>
    <t>Suppress Z</t>
  </si>
  <si>
    <t>ero Amounts: Yes</t>
  </si>
  <si>
    <t>Round to Neare</t>
  </si>
  <si>
    <t>st Thousand: No</t>
  </si>
  <si>
    <t>Round to Nearest</t>
  </si>
  <si>
    <t>Whole Unit: No</t>
  </si>
  <si>
    <t>Reporti</t>
  </si>
  <si>
    <t>ng Currency: USD</t>
  </si>
  <si>
    <t>Date:</t>
  </si>
  <si>
    <t>Time:</t>
  </si>
  <si>
    <t>100.00cr</t>
  </si>
  <si>
    <t>Entity: 110        To: 110</t>
  </si>
  <si>
    <t>=521889 (ADP report) + 21210.02 (additional FUTA)</t>
  </si>
  <si>
    <t>reconciled</t>
  </si>
  <si>
    <t>tied to ADP report</t>
  </si>
  <si>
    <t>reconciled to ADP report</t>
  </si>
  <si>
    <t>tied ADP report</t>
  </si>
  <si>
    <t>(pending)</t>
  </si>
  <si>
    <t>R&amp;D cost sharing</t>
  </si>
  <si>
    <t>Interest expense</t>
  </si>
  <si>
    <t>: 08/13/14</t>
  </si>
  <si>
    <t>: 17:52:07</t>
  </si>
  <si>
    <t>FS reclassification</t>
  </si>
  <si>
    <t>Option exercised</t>
  </si>
  <si>
    <t>Adjusted balance</t>
  </si>
  <si>
    <t>(unplanned receipts)</t>
  </si>
  <si>
    <t>Chem inventory - 2012</t>
  </si>
  <si>
    <t>Chem inventory - 2013</t>
  </si>
  <si>
    <t/>
  </si>
  <si>
    <t>THERANOS, INC. AND SUBSIDIARY</t>
  </si>
  <si>
    <t>Consolidated Balance Sheets</t>
  </si>
  <si>
    <t>Assets</t>
  </si>
  <si>
    <t>Current assets:</t>
  </si>
  <si>
    <t>Cash and cash equivalents</t>
  </si>
  <si>
    <t>$</t>
  </si>
  <si>
    <t>Marketable securities</t>
  </si>
  <si>
    <t>Accounts receivable</t>
  </si>
  <si>
    <t>Inventory</t>
  </si>
  <si>
    <t>Prepaid expenses and other assets</t>
  </si>
  <si>
    <t>Total current assets</t>
  </si>
  <si>
    <t>Property and equipment, net</t>
  </si>
  <si>
    <t>Total assets</t>
  </si>
  <si>
    <t>Liabilities and stockholders’ equity</t>
  </si>
  <si>
    <t>Current liabilities:</t>
  </si>
  <si>
    <t>Accounts payable</t>
  </si>
  <si>
    <t>Accrued liabilities</t>
  </si>
  <si>
    <t>Deferred revenue</t>
  </si>
  <si>
    <t>Short term debt</t>
  </si>
  <si>
    <t>Other payable</t>
  </si>
  <si>
    <t>Preferred stock warrant liability</t>
  </si>
  <si>
    <t>Total current liabilities</t>
  </si>
  <si>
    <t>Deferred rent</t>
  </si>
  <si>
    <t>Customer Deposits</t>
  </si>
  <si>
    <t>Repurchaseable shares</t>
  </si>
  <si>
    <t>Note payable</t>
  </si>
  <si>
    <t>Noncurrent portion of capital lease obligation</t>
  </si>
  <si>
    <t>Total liabilities</t>
  </si>
  <si>
    <r>
      <t xml:space="preserve">Commitments and contingencies </t>
    </r>
    <r>
      <rPr>
        <b/>
        <sz val="11"/>
        <rFont val="Times New Roman"/>
        <family val="1"/>
      </rPr>
      <t>(note 7)</t>
    </r>
  </si>
  <si>
    <t>Stockholders’ equity:</t>
  </si>
  <si>
    <t>Common stock, par value $0.0001</t>
  </si>
  <si>
    <t>Convertible preferred stock, par value $0.0001</t>
  </si>
  <si>
    <t>Additional paid-in capital</t>
  </si>
  <si>
    <t>Accumulated deficit</t>
  </si>
  <si>
    <t>Accumulated other comprehensive income</t>
  </si>
  <si>
    <t>Total stockholders’ equity</t>
  </si>
  <si>
    <t>Total liabilities and stockholders’ equity</t>
  </si>
  <si>
    <t>Consolidated Statements of Operations</t>
  </si>
  <si>
    <t>Revenue</t>
  </si>
  <si>
    <t>Operating expenses:</t>
  </si>
  <si>
    <t>Research and development</t>
  </si>
  <si>
    <t>General and administrative</t>
  </si>
  <si>
    <t>Total operating expenses</t>
  </si>
  <si>
    <t>Operating loss</t>
  </si>
  <si>
    <t>Interest and other income, net</t>
  </si>
  <si>
    <t>Net loss</t>
  </si>
  <si>
    <t>Theranos, Inc.Page:1</t>
  </si>
  <si>
    <t xml:space="preserve">                                                           Exchange Rate:</t>
  </si>
  <si>
    <t xml:space="preserve"> </t>
  </si>
  <si>
    <t>SVB - Checking (Global)</t>
  </si>
  <si>
    <t>Short term Inv - Fidelit</t>
  </si>
  <si>
    <t>A/R Trade</t>
  </si>
  <si>
    <t>RM - Cartridges</t>
  </si>
  <si>
    <t>RM - Readers</t>
  </si>
  <si>
    <t>Other assets - ST</t>
  </si>
  <si>
    <t>FA - Computer S/W WIP</t>
  </si>
  <si>
    <t>Note Interest payable</t>
  </si>
  <si>
    <t>Common stock</t>
  </si>
  <si>
    <t>Add'l PIC - C/S</t>
  </si>
  <si>
    <t>Misc Revenue - OOP costs</t>
  </si>
  <si>
    <t>Floor Stock - Cartridges</t>
  </si>
  <si>
    <t>Other benefits - mileage</t>
  </si>
  <si>
    <t>Facility Services</t>
  </si>
  <si>
    <t>Facility Network Comm</t>
  </si>
  <si>
    <t>Facility Insurance</t>
  </si>
  <si>
    <t>Clin/Dev EQT Rental</t>
  </si>
  <si>
    <t>Purchased Parts</t>
  </si>
  <si>
    <t>Fabricated Parts</t>
  </si>
  <si>
    <t>NRE charge</t>
  </si>
  <si>
    <t>Catridge Supplies</t>
  </si>
  <si>
    <t>Reagents</t>
  </si>
  <si>
    <t>Antibodies</t>
  </si>
  <si>
    <t>Human Blood products</t>
  </si>
  <si>
    <t>Human body parts</t>
  </si>
  <si>
    <t>Chemicals</t>
  </si>
  <si>
    <t>Regulated Chemicals</t>
  </si>
  <si>
    <t>Software Tools</t>
  </si>
  <si>
    <t>Conference/Seminar/Train</t>
  </si>
  <si>
    <t>Graphic Design</t>
  </si>
  <si>
    <t>Auditing Services</t>
  </si>
  <si>
    <t>Legal - License</t>
  </si>
  <si>
    <t>Regulatory Submissions</t>
  </si>
  <si>
    <t>Computer Supplies</t>
  </si>
  <si>
    <t>Computer supplies - LAN</t>
  </si>
  <si>
    <t>Expensed Software</t>
  </si>
  <si>
    <t>Software Maintenance</t>
  </si>
  <si>
    <t>Equipment supplies</t>
  </si>
  <si>
    <t>Postage &amp; Delivery</t>
  </si>
  <si>
    <t>Annual Maint / License</t>
  </si>
  <si>
    <t>Recruiting Expenses</t>
  </si>
  <si>
    <t>G&amp;A Allocation - Out</t>
  </si>
  <si>
    <t>G&amp;A Allocation - In</t>
  </si>
  <si>
    <t>Facility Allocation-Out</t>
  </si>
  <si>
    <t>Facility Allocation - In</t>
  </si>
  <si>
    <t>IT Allocation - Out</t>
  </si>
  <si>
    <t>IT Allocation - In</t>
  </si>
  <si>
    <t>Other expenses</t>
  </si>
  <si>
    <t>Trial Balance Summary08/15/14 21:23:15</t>
  </si>
  <si>
    <t>Theranos, Inc                                              Reporting Currency:   USD</t>
  </si>
  <si>
    <t>Balance - 123112</t>
  </si>
  <si>
    <t>AR/Deferred Rev</t>
  </si>
  <si>
    <t>Chem inventory</t>
  </si>
  <si>
    <t>Chem/Cartridges</t>
  </si>
  <si>
    <t>December 31, 2013, 2012, 2011 and 2010</t>
  </si>
  <si>
    <t>C-2</t>
  </si>
  <si>
    <t>Years ended December 31, 2013, 2012, 2011 and 2010</t>
  </si>
  <si>
    <t>Sum of Adjust</t>
  </si>
  <si>
    <t>Column Labels</t>
  </si>
  <si>
    <t>Row Labels</t>
  </si>
  <si>
    <t>(blank)</t>
  </si>
  <si>
    <t>Grand Total</t>
  </si>
  <si>
    <t>R&amp;D</t>
  </si>
  <si>
    <t>G&amp;A</t>
  </si>
  <si>
    <t>interest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</si>
</sst>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 \ \ \ ;[Red]\(#,##0\)\ \ \ ;\—\ \ \ \ "/>
    <numFmt numFmtId="165" formatCode="#,##0\ \ \ ;[Red]\(#,##0\)\ \ ;\—\ \ \ \ "/>
    <numFmt numFmtId="166" formatCode="_(* #,##0_);_(* \(#,##0\);_(* &quot;–&quot;_);_(@_)"/>
    <numFmt numFmtId="167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sz val="10"/>
      <color indexed="14"/>
      <name val="Arial"/>
      <family val="2"/>
    </font>
    <font>
      <sz val="9"/>
      <color theme="1"/>
      <name val="Lucida Console"/>
      <family val="3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Lucida Console"/>
      <family val="3"/>
    </font>
    <font>
      <sz val="8"/>
      <color theme="1"/>
      <name val="Verdana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A9A9A9"/>
      </top>
      <bottom/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8" fillId="0" borderId="0"/>
    <xf numFmtId="165" fontId="20" fillId="0" borderId="0" applyFill="0" applyBorder="0" applyAlignment="0" applyProtection="0"/>
    <xf numFmtId="0" fontId="22" fillId="0" borderId="0"/>
    <xf numFmtId="0" fontId="1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</cellStyleXfs>
  <cellXfs count="53">
    <xf numFmtId="0" fontId="0" fillId="0" borderId="0" xfId="0"/>
    <xf numFmtId="14" fontId="0" fillId="0" borderId="0" xfId="0" applyNumberFormat="1"/>
    <xf numFmtId="4" fontId="0" fillId="0" borderId="0" xfId="0" applyNumberFormat="1"/>
    <xf numFmtId="21" fontId="0" fillId="0" borderId="0" xfId="0" applyNumberFormat="1"/>
    <xf numFmtId="43" fontId="0" fillId="0" borderId="0" xfId="42" applyFont="1"/>
    <xf numFmtId="0" fontId="0" fillId="0" borderId="0" xfId="0" quotePrefix="1"/>
    <xf numFmtId="43" fontId="0" fillId="0" borderId="0" xfId="0" applyNumberFormat="1"/>
    <xf numFmtId="0" fontId="0" fillId="33" borderId="0" xfId="0" applyFill="1"/>
    <xf numFmtId="43" fontId="0" fillId="33" borderId="0" xfId="42" applyFont="1" applyFill="1"/>
    <xf numFmtId="43" fontId="0" fillId="33" borderId="0" xfId="0" applyNumberFormat="1" applyFill="1"/>
    <xf numFmtId="0" fontId="19" fillId="0" borderId="0" xfId="43" applyNumberFormat="1" applyFont="1" applyFill="1" applyAlignment="1">
      <alignment horizontal="centerContinuous"/>
    </xf>
    <xf numFmtId="0" fontId="20" fillId="0" borderId="0" xfId="43" applyNumberFormat="1" applyFont="1" applyFill="1" applyAlignment="1">
      <alignment horizontal="centerContinuous"/>
    </xf>
    <xf numFmtId="0" fontId="20" fillId="0" borderId="0" xfId="43" applyNumberFormat="1" applyFont="1" applyFill="1" applyAlignment="1"/>
    <xf numFmtId="0" fontId="19" fillId="0" borderId="10" xfId="43" applyNumberFormat="1" applyFont="1" applyFill="1" applyBorder="1" applyAlignment="1">
      <alignment horizontal="center"/>
    </xf>
    <xf numFmtId="0" fontId="19" fillId="0" borderId="0" xfId="43" applyNumberFormat="1" applyFont="1" applyFill="1" applyAlignment="1"/>
    <xf numFmtId="0" fontId="20" fillId="0" borderId="0" xfId="43" applyNumberFormat="1" applyFont="1" applyFill="1" applyAlignment="1">
      <alignment horizontal="left"/>
    </xf>
    <xf numFmtId="0" fontId="20" fillId="0" borderId="0" xfId="43" applyNumberFormat="1" applyFont="1" applyFill="1" applyAlignment="1">
      <alignment horizontal="center"/>
    </xf>
    <xf numFmtId="165" fontId="20" fillId="0" borderId="0" xfId="44" applyFont="1" applyFill="1" applyAlignment="1"/>
    <xf numFmtId="165" fontId="20" fillId="0" borderId="0" xfId="44" applyFont="1" applyFill="1" applyBorder="1" applyAlignment="1"/>
    <xf numFmtId="165" fontId="20" fillId="0" borderId="10" xfId="44" applyFont="1" applyFill="1" applyBorder="1" applyAlignment="1"/>
    <xf numFmtId="0" fontId="21" fillId="0" borderId="0" xfId="43" applyNumberFormat="1" applyFont="1" applyFill="1" applyAlignment="1">
      <alignment horizontal="center" vertical="center" textRotation="90"/>
    </xf>
    <xf numFmtId="166" fontId="19" fillId="0" borderId="0" xfId="45" applyNumberFormat="1" applyFont="1" applyAlignment="1">
      <alignment vertical="top"/>
    </xf>
    <xf numFmtId="165" fontId="20" fillId="0" borderId="11" xfId="44" applyFont="1" applyFill="1" applyBorder="1" applyAlignment="1"/>
    <xf numFmtId="165" fontId="21" fillId="0" borderId="0" xfId="44" applyFont="1" applyFill="1" applyAlignment="1">
      <alignment horizontal="center" vertical="top"/>
    </xf>
    <xf numFmtId="165" fontId="20" fillId="33" borderId="10" xfId="44" applyFont="1" applyFill="1" applyBorder="1" applyAlignment="1"/>
    <xf numFmtId="0" fontId="20" fillId="0" borderId="0" xfId="43" quotePrefix="1" applyNumberFormat="1" applyFont="1" applyFill="1" applyAlignment="1">
      <alignment horizontal="left"/>
    </xf>
    <xf numFmtId="0" fontId="23" fillId="0" borderId="0" xfId="43" applyNumberFormat="1" applyFont="1" applyFill="1" applyAlignment="1"/>
    <xf numFmtId="165" fontId="20" fillId="0" borderId="0" xfId="43" applyNumberFormat="1" applyFont="1" applyFill="1" applyAlignment="1"/>
    <xf numFmtId="0" fontId="19" fillId="0" borderId="0" xfId="43" applyNumberFormat="1" applyFont="1" applyFill="1" applyAlignment="1">
      <alignment horizontal="center"/>
    </xf>
    <xf numFmtId="165" fontId="20" fillId="0" borderId="12" xfId="44" applyFont="1" applyFill="1" applyBorder="1" applyAlignment="1"/>
    <xf numFmtId="43" fontId="19" fillId="0" borderId="0" xfId="43" applyNumberFormat="1" applyFont="1" applyFill="1" applyBorder="1" applyAlignment="1"/>
    <xf numFmtId="0" fontId="19" fillId="0" borderId="0" xfId="43" applyNumberFormat="1" applyFont="1" applyFill="1" applyBorder="1" applyAlignment="1"/>
    <xf numFmtId="0" fontId="20" fillId="0" borderId="0" xfId="43" applyNumberFormat="1" applyFont="1" applyFill="1" applyBorder="1" applyAlignment="1"/>
    <xf numFmtId="0" fontId="26" fillId="0" borderId="0" xfId="0" applyFont="1" applyAlignment="1">
      <alignment vertical="center"/>
    </xf>
    <xf numFmtId="0" fontId="27" fillId="34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8" fillId="34" borderId="0" xfId="0" applyFont="1" applyFill="1" applyAlignment="1">
      <alignment vertical="center"/>
    </xf>
    <xf numFmtId="0" fontId="29" fillId="34" borderId="0" xfId="0" applyFont="1" applyFill="1" applyAlignment="1">
      <alignment vertical="center"/>
    </xf>
    <xf numFmtId="0" fontId="29" fillId="34" borderId="13" xfId="0" applyFont="1" applyFill="1" applyBorder="1" applyAlignment="1">
      <alignment vertical="center"/>
    </xf>
    <xf numFmtId="0" fontId="0" fillId="0" borderId="0" xfId="0" applyAlignment="1">
      <alignment wrapText="1"/>
    </xf>
    <xf numFmtId="167" fontId="0" fillId="0" borderId="0" xfId="42" applyNumberFormat="1" applyFont="1"/>
    <xf numFmtId="0" fontId="29" fillId="34" borderId="0" xfId="0" applyFont="1" applyFill="1" applyBorder="1" applyAlignment="1">
      <alignment vertical="center"/>
    </xf>
    <xf numFmtId="0" fontId="0" fillId="0" borderId="0" xfId="0" applyFont="1"/>
    <xf numFmtId="0" fontId="0" fillId="34" borderId="0" xfId="0" applyFont="1" applyFill="1" applyAlignment="1">
      <alignment vertical="center"/>
    </xf>
    <xf numFmtId="167" fontId="0" fillId="0" borderId="0" xfId="0" applyNumberFormat="1" applyFont="1"/>
    <xf numFmtId="43" fontId="0" fillId="0" borderId="0" xfId="0" applyNumberFormat="1" applyFont="1"/>
    <xf numFmtId="43" fontId="30" fillId="0" borderId="0" xfId="0" applyNumberFormat="1" applyFont="1" applyFill="1"/>
    <xf numFmtId="0" fontId="31" fillId="0" borderId="0" xfId="0" applyFont="1"/>
    <xf numFmtId="43" fontId="29" fillId="34" borderId="0" xfId="42" applyFont="1" applyFill="1" applyAlignment="1">
      <alignment vertical="center"/>
    </xf>
    <xf numFmtId="43" fontId="29" fillId="34" borderId="0" xfId="42" applyFont="1" applyFill="1" applyBorder="1" applyAlignment="1">
      <alignment vertical="center"/>
    </xf>
    <xf numFmtId="43" fontId="29" fillId="34" borderId="13" xfId="42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8"/>
    <cellStyle name="Comma 3" xfId="50"/>
    <cellStyle name="Currency 2" xfId="47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5"/>
    <cellStyle name="Normal 3" xfId="46"/>
    <cellStyle name="Normal 3 2" xfId="49"/>
    <cellStyle name="Note" xfId="15" builtinId="10" customBuiltin="1"/>
    <cellStyle name="Number" xfId="44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Department/5%20Bank%20and%20financial%20matters/2012/2012%20Tax/TB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Inc"/>
      <sheetName val="Cayman"/>
      <sheetName val="2-BS"/>
      <sheetName val="3-Ops"/>
      <sheetName val="4-SE"/>
      <sheetName val="CF template 2012"/>
    </sheetNames>
    <sheetDataSet>
      <sheetData sheetId="0">
        <row r="1">
          <cell r="A1" t="str">
            <v>Theranos, Inc</v>
          </cell>
        </row>
        <row r="2">
          <cell r="A2" t="str">
            <v>Consolidated Trial Balance</v>
          </cell>
        </row>
        <row r="3">
          <cell r="A3" t="str">
            <v>YE 12/31/2012</v>
          </cell>
        </row>
        <row r="5">
          <cell r="F5" t="str">
            <v>FS reclassification</v>
          </cell>
          <cell r="G5" t="str">
            <v>FS reclassification</v>
          </cell>
        </row>
        <row r="6">
          <cell r="A6" t="str">
            <v>Account</v>
          </cell>
          <cell r="B6" t="str">
            <v>Description</v>
          </cell>
          <cell r="C6" t="str">
            <v>Old QAD</v>
          </cell>
          <cell r="D6" t="str">
            <v>New QAD</v>
          </cell>
          <cell r="E6" t="str">
            <v>Balance</v>
          </cell>
          <cell r="F6" t="str">
            <v>Option exercised</v>
          </cell>
          <cell r="G6" t="str">
            <v>AR/Deferred Rev</v>
          </cell>
          <cell r="H6" t="str">
            <v>GMP</v>
          </cell>
          <cell r="I6" t="str">
            <v>Chem inventory</v>
          </cell>
        </row>
        <row r="7">
          <cell r="A7">
            <v>1011</v>
          </cell>
          <cell r="B7" t="str">
            <v>SVB - Checking (Global)</v>
          </cell>
          <cell r="C7">
            <v>4080.92</v>
          </cell>
          <cell r="E7">
            <v>4080.92</v>
          </cell>
        </row>
        <row r="8">
          <cell r="A8">
            <v>1025</v>
          </cell>
          <cell r="B8" t="str">
            <v>Cash- CoAmerica Checking</v>
          </cell>
          <cell r="C8">
            <v>5436016.8399999999</v>
          </cell>
          <cell r="E8">
            <v>5436016.8399999999</v>
          </cell>
        </row>
        <row r="9">
          <cell r="A9">
            <v>1040</v>
          </cell>
          <cell r="B9" t="str">
            <v>Cash - Morgan Stanley</v>
          </cell>
          <cell r="C9">
            <v>4375219.6100000003</v>
          </cell>
          <cell r="E9">
            <v>4375219.6100000003</v>
          </cell>
        </row>
        <row r="10">
          <cell r="A10">
            <v>1045</v>
          </cell>
          <cell r="B10" t="str">
            <v>Cash - Fidelity</v>
          </cell>
          <cell r="C10">
            <v>502073.02</v>
          </cell>
          <cell r="E10">
            <v>502073.02</v>
          </cell>
        </row>
        <row r="11">
          <cell r="A11">
            <v>1050</v>
          </cell>
          <cell r="B11" t="str">
            <v>Petty cash</v>
          </cell>
          <cell r="C11">
            <v>2463.62</v>
          </cell>
          <cell r="E11">
            <v>2463.62</v>
          </cell>
        </row>
        <row r="12">
          <cell r="A12">
            <v>1070</v>
          </cell>
          <cell r="B12" t="str">
            <v>Short Term Inv - MS</v>
          </cell>
          <cell r="C12">
            <v>2258935.06</v>
          </cell>
          <cell r="E12">
            <v>2258935.06</v>
          </cell>
        </row>
        <row r="13">
          <cell r="A13">
            <v>1071</v>
          </cell>
          <cell r="B13" t="str">
            <v>Short term Inv - Fidelit</v>
          </cell>
          <cell r="C13">
            <v>37991820</v>
          </cell>
          <cell r="E13">
            <v>37991820</v>
          </cell>
        </row>
        <row r="14">
          <cell r="A14">
            <v>1806</v>
          </cell>
          <cell r="B14" t="str">
            <v>Restricted LT investment</v>
          </cell>
          <cell r="C14">
            <v>1214668.3999999999</v>
          </cell>
          <cell r="E14">
            <v>1214668.3999999999</v>
          </cell>
        </row>
        <row r="15">
          <cell r="A15">
            <v>1110</v>
          </cell>
          <cell r="B15" t="str">
            <v>A/R Trade</v>
          </cell>
          <cell r="C15">
            <v>25000000</v>
          </cell>
          <cell r="E15">
            <v>25000000</v>
          </cell>
          <cell r="G15">
            <v>-25000000</v>
          </cell>
        </row>
        <row r="16">
          <cell r="A16">
            <v>1200</v>
          </cell>
          <cell r="B16" t="str">
            <v>RM Device Stock</v>
          </cell>
          <cell r="D16">
            <v>55347.12</v>
          </cell>
          <cell r="E16">
            <v>55347.12</v>
          </cell>
          <cell r="H16">
            <v>7517377.0899999933</v>
          </cell>
        </row>
        <row r="17">
          <cell r="A17">
            <v>1210</v>
          </cell>
          <cell r="B17" t="str">
            <v>WIP Device Stock</v>
          </cell>
          <cell r="D17">
            <v>261.97000000000003</v>
          </cell>
          <cell r="E17">
            <v>261.97000000000003</v>
          </cell>
        </row>
        <row r="18">
          <cell r="A18">
            <v>1260</v>
          </cell>
          <cell r="B18" t="str">
            <v>Chemistry/Cartridges</v>
          </cell>
          <cell r="C18">
            <v>94273.47</v>
          </cell>
          <cell r="E18">
            <v>94273.47</v>
          </cell>
          <cell r="I18">
            <v>-94273.47</v>
          </cell>
        </row>
        <row r="19">
          <cell r="A19">
            <v>1310</v>
          </cell>
          <cell r="B19" t="str">
            <v>Prepaid General - ST</v>
          </cell>
          <cell r="C19">
            <v>218640.95</v>
          </cell>
          <cell r="E19">
            <v>218640.95</v>
          </cell>
        </row>
        <row r="20">
          <cell r="A20">
            <v>1311</v>
          </cell>
          <cell r="B20" t="str">
            <v>Prepaid Insurance - ST</v>
          </cell>
          <cell r="C20">
            <v>235474.65</v>
          </cell>
          <cell r="E20">
            <v>235474.65</v>
          </cell>
        </row>
        <row r="21">
          <cell r="A21">
            <v>1312</v>
          </cell>
          <cell r="B21" t="str">
            <v>Prepaid Rent - ST</v>
          </cell>
          <cell r="C21">
            <v>300006.42</v>
          </cell>
          <cell r="E21">
            <v>300006.42</v>
          </cell>
        </row>
        <row r="22">
          <cell r="A22">
            <v>1313</v>
          </cell>
          <cell r="B22" t="str">
            <v>Prepaid Property Taxes</v>
          </cell>
          <cell r="C22">
            <v>37481.040000000001</v>
          </cell>
          <cell r="E22">
            <v>37481.040000000001</v>
          </cell>
        </row>
        <row r="23">
          <cell r="A23">
            <v>1314</v>
          </cell>
          <cell r="B23" t="str">
            <v>Prepaid For Amortization</v>
          </cell>
          <cell r="C23">
            <v>542466.05000000005</v>
          </cell>
          <cell r="E23">
            <v>542466.05000000005</v>
          </cell>
        </row>
        <row r="24">
          <cell r="A24">
            <v>1410</v>
          </cell>
          <cell r="B24" t="str">
            <v>Interest Receivable</v>
          </cell>
          <cell r="C24">
            <v>12314.79</v>
          </cell>
          <cell r="E24">
            <v>12314.79</v>
          </cell>
        </row>
        <row r="25">
          <cell r="A25">
            <v>1415</v>
          </cell>
          <cell r="B25" t="str">
            <v>Other Receivables</v>
          </cell>
          <cell r="C25">
            <v>362392.74</v>
          </cell>
          <cell r="E25">
            <v>362392.74</v>
          </cell>
        </row>
        <row r="26">
          <cell r="A26">
            <v>1416</v>
          </cell>
          <cell r="B26" t="str">
            <v>Other receivable-clients</v>
          </cell>
          <cell r="C26">
            <v>1311.75</v>
          </cell>
          <cell r="E26">
            <v>1311.75</v>
          </cell>
        </row>
        <row r="27">
          <cell r="A27">
            <v>1422</v>
          </cell>
          <cell r="B27" t="str">
            <v>Manual Payroll Check</v>
          </cell>
          <cell r="C27">
            <v>0.28999999999999998</v>
          </cell>
          <cell r="E27">
            <v>0.28999999999999998</v>
          </cell>
        </row>
        <row r="28">
          <cell r="A28">
            <v>1520</v>
          </cell>
          <cell r="B28" t="str">
            <v>Deposits - ST</v>
          </cell>
          <cell r="C28">
            <v>58472.25</v>
          </cell>
          <cell r="E28">
            <v>58472.25</v>
          </cell>
        </row>
        <row r="29">
          <cell r="A29">
            <v>1526</v>
          </cell>
          <cell r="B29" t="str">
            <v>Deposit - Retainer (Pat)</v>
          </cell>
          <cell r="C29">
            <v>55373.71</v>
          </cell>
          <cell r="E29">
            <v>55373.71</v>
          </cell>
        </row>
        <row r="30">
          <cell r="A30">
            <v>1535</v>
          </cell>
          <cell r="B30" t="str">
            <v>Deposit - Jet</v>
          </cell>
          <cell r="C30">
            <v>5111.51</v>
          </cell>
          <cell r="E30">
            <v>5111.51</v>
          </cell>
        </row>
        <row r="31">
          <cell r="A31">
            <v>1610</v>
          </cell>
          <cell r="B31" t="str">
            <v>FA-Machines &amp; Equipment</v>
          </cell>
          <cell r="C31">
            <v>6137126.4400000004</v>
          </cell>
          <cell r="E31">
            <v>6137126.4400000004</v>
          </cell>
        </row>
        <row r="32">
          <cell r="A32">
            <v>1611</v>
          </cell>
          <cell r="B32" t="str">
            <v>FA-Manufacturing Machine</v>
          </cell>
          <cell r="C32">
            <v>9387212.0500000007</v>
          </cell>
          <cell r="E32">
            <v>9387212.0500000007</v>
          </cell>
        </row>
        <row r="33">
          <cell r="A33">
            <v>1612</v>
          </cell>
          <cell r="B33" t="str">
            <v>FA-CLIA Machine</v>
          </cell>
          <cell r="C33">
            <v>917832.28</v>
          </cell>
          <cell r="E33">
            <v>917832.28</v>
          </cell>
        </row>
        <row r="34">
          <cell r="A34">
            <v>1615</v>
          </cell>
          <cell r="B34" t="str">
            <v>FA-Office Equipment</v>
          </cell>
          <cell r="C34">
            <v>138724.96</v>
          </cell>
          <cell r="E34">
            <v>138724.96</v>
          </cell>
        </row>
        <row r="35">
          <cell r="A35">
            <v>1620</v>
          </cell>
          <cell r="B35" t="str">
            <v>FA-furniture &amp; fixtures</v>
          </cell>
          <cell r="C35">
            <v>425728.01</v>
          </cell>
          <cell r="E35">
            <v>425728.01</v>
          </cell>
        </row>
        <row r="36">
          <cell r="A36">
            <v>1625</v>
          </cell>
          <cell r="B36" t="str">
            <v>FA-Computer Hardware</v>
          </cell>
          <cell r="C36">
            <v>1188429.23</v>
          </cell>
          <cell r="E36">
            <v>1188429.23</v>
          </cell>
        </row>
        <row r="37">
          <cell r="A37">
            <v>1630</v>
          </cell>
          <cell r="B37" t="str">
            <v>FA-Computer software</v>
          </cell>
          <cell r="C37">
            <v>1039538.16</v>
          </cell>
          <cell r="E37">
            <v>1039538.16</v>
          </cell>
        </row>
        <row r="38">
          <cell r="A38">
            <v>1635</v>
          </cell>
          <cell r="B38" t="str">
            <v>FA-Leasehold Improvement</v>
          </cell>
          <cell r="C38">
            <v>6164891.7599999998</v>
          </cell>
          <cell r="E38">
            <v>6164891.7599999998</v>
          </cell>
        </row>
        <row r="39">
          <cell r="A39">
            <v>1640</v>
          </cell>
          <cell r="B39" t="str">
            <v>FA - Vehicle</v>
          </cell>
          <cell r="C39">
            <v>22000</v>
          </cell>
          <cell r="E39">
            <v>22000</v>
          </cell>
        </row>
        <row r="40">
          <cell r="A40">
            <v>1680</v>
          </cell>
          <cell r="B40" t="str">
            <v>FA - Manufactured Device</v>
          </cell>
          <cell r="C40">
            <v>650165.16</v>
          </cell>
          <cell r="E40">
            <v>650165.16</v>
          </cell>
        </row>
        <row r="41">
          <cell r="A41">
            <v>1690</v>
          </cell>
          <cell r="B41" t="str">
            <v>FA - M&amp;E WIP</v>
          </cell>
          <cell r="C41">
            <v>44331.85</v>
          </cell>
          <cell r="E41">
            <v>44331.85</v>
          </cell>
        </row>
        <row r="42">
          <cell r="A42">
            <v>1694</v>
          </cell>
          <cell r="B42" t="str">
            <v>FA - Computer S/W WIP</v>
          </cell>
          <cell r="C42">
            <v>55651.74</v>
          </cell>
          <cell r="E42">
            <v>55651.74</v>
          </cell>
        </row>
        <row r="43">
          <cell r="A43">
            <v>1696</v>
          </cell>
          <cell r="B43" t="str">
            <v>FA-CLIA Machine WIP</v>
          </cell>
          <cell r="C43">
            <v>0.01</v>
          </cell>
          <cell r="E43">
            <v>0.01</v>
          </cell>
        </row>
        <row r="44">
          <cell r="A44">
            <v>1710</v>
          </cell>
          <cell r="B44" t="str">
            <v>A/D Machines &amp; Equipment</v>
          </cell>
          <cell r="C44">
            <v>-2520131.85</v>
          </cell>
          <cell r="E44">
            <v>-2520131.85</v>
          </cell>
        </row>
        <row r="45">
          <cell r="A45">
            <v>1711</v>
          </cell>
          <cell r="B45" t="str">
            <v>A/D - Manuf Machinery</v>
          </cell>
          <cell r="C45">
            <v>-518668.77</v>
          </cell>
          <cell r="E45">
            <v>-518668.77</v>
          </cell>
        </row>
        <row r="46">
          <cell r="A46">
            <v>1712</v>
          </cell>
          <cell r="B46" t="str">
            <v>A/D CLIA Machine</v>
          </cell>
          <cell r="C46">
            <v>-112659.81</v>
          </cell>
          <cell r="E46">
            <v>-112659.81</v>
          </cell>
        </row>
        <row r="47">
          <cell r="A47">
            <v>1715</v>
          </cell>
          <cell r="B47" t="str">
            <v>A/D Office Equipment</v>
          </cell>
          <cell r="C47">
            <v>-76362.570000000007</v>
          </cell>
          <cell r="E47">
            <v>-76362.570000000007</v>
          </cell>
        </row>
        <row r="48">
          <cell r="A48">
            <v>1720</v>
          </cell>
          <cell r="B48" t="str">
            <v>A/D Furniture &amp; Fixtures</v>
          </cell>
          <cell r="C48">
            <v>-183730.52</v>
          </cell>
          <cell r="E48">
            <v>-183730.52</v>
          </cell>
        </row>
        <row r="49">
          <cell r="A49">
            <v>1725</v>
          </cell>
          <cell r="B49" t="str">
            <v>A/D Computer Hardware</v>
          </cell>
          <cell r="C49">
            <v>-758372.19</v>
          </cell>
          <cell r="E49">
            <v>-758372.19</v>
          </cell>
        </row>
        <row r="50">
          <cell r="A50">
            <v>1730</v>
          </cell>
          <cell r="B50" t="str">
            <v>A/D Computer Software</v>
          </cell>
          <cell r="C50">
            <v>-273096.45</v>
          </cell>
          <cell r="E50">
            <v>-273096.45</v>
          </cell>
        </row>
        <row r="51">
          <cell r="A51">
            <v>1735</v>
          </cell>
          <cell r="B51" t="str">
            <v>A/DLeasehold improvement</v>
          </cell>
          <cell r="C51">
            <v>-1549082.66</v>
          </cell>
          <cell r="E51">
            <v>-1549082.66</v>
          </cell>
        </row>
        <row r="52">
          <cell r="A52">
            <v>1740</v>
          </cell>
          <cell r="B52" t="str">
            <v>A/D - Vehicle</v>
          </cell>
          <cell r="C52">
            <v>-916.65</v>
          </cell>
          <cell r="E52">
            <v>-916.65</v>
          </cell>
        </row>
        <row r="53">
          <cell r="A53">
            <v>1780</v>
          </cell>
          <cell r="B53" t="str">
            <v>A/D Manufactured Device</v>
          </cell>
          <cell r="C53">
            <v>-650165.19000000006</v>
          </cell>
          <cell r="E53">
            <v>-650165.19000000006</v>
          </cell>
        </row>
        <row r="54">
          <cell r="A54">
            <v>1815</v>
          </cell>
          <cell r="B54" t="str">
            <v>Note Receivable - LT</v>
          </cell>
          <cell r="C54">
            <v>16737909.17</v>
          </cell>
          <cell r="E54">
            <v>16737909.17</v>
          </cell>
          <cell r="F54">
            <v>-16737909.17</v>
          </cell>
        </row>
        <row r="55">
          <cell r="A55">
            <v>1820</v>
          </cell>
          <cell r="B55" t="str">
            <v>Interest receivable - LT</v>
          </cell>
          <cell r="C55">
            <v>384966.52</v>
          </cell>
          <cell r="E55">
            <v>384966.52</v>
          </cell>
          <cell r="F55">
            <v>-384966.52</v>
          </cell>
        </row>
        <row r="56">
          <cell r="A56">
            <v>1825</v>
          </cell>
          <cell r="B56" t="str">
            <v>Deposits - LT</v>
          </cell>
          <cell r="C56">
            <v>3000</v>
          </cell>
          <cell r="E56">
            <v>3000</v>
          </cell>
        </row>
        <row r="57">
          <cell r="A57">
            <v>2010</v>
          </cell>
          <cell r="B57" t="str">
            <v>Accounts Payable Trade</v>
          </cell>
          <cell r="C57">
            <v>-7668771.71</v>
          </cell>
          <cell r="E57">
            <v>-7668771.71</v>
          </cell>
        </row>
        <row r="58">
          <cell r="A58">
            <v>2020</v>
          </cell>
          <cell r="B58" t="str">
            <v>PO Receipts - Inventory</v>
          </cell>
          <cell r="C58">
            <v>4174.93</v>
          </cell>
          <cell r="E58">
            <v>4174.93</v>
          </cell>
        </row>
        <row r="59">
          <cell r="A59">
            <v>2030</v>
          </cell>
          <cell r="B59" t="str">
            <v>PO Receipts - Expenses</v>
          </cell>
          <cell r="C59">
            <v>-118280.52</v>
          </cell>
          <cell r="D59">
            <v>-32625</v>
          </cell>
          <cell r="E59">
            <v>-150905.52000000002</v>
          </cell>
        </row>
        <row r="60">
          <cell r="A60">
            <v>2035</v>
          </cell>
          <cell r="B60" t="str">
            <v>AP Accrual</v>
          </cell>
          <cell r="C60">
            <v>-1747182.06</v>
          </cell>
          <cell r="E60">
            <v>-1747182.06</v>
          </cell>
        </row>
        <row r="61">
          <cell r="A61">
            <v>2045</v>
          </cell>
          <cell r="B61" t="str">
            <v>Accrued Payroll</v>
          </cell>
          <cell r="C61">
            <v>-855153.65</v>
          </cell>
          <cell r="E61">
            <v>-855153.65</v>
          </cell>
        </row>
        <row r="62">
          <cell r="A62">
            <v>2055</v>
          </cell>
          <cell r="B62" t="str">
            <v>Accrued Vacation</v>
          </cell>
          <cell r="C62">
            <v>-909271.93</v>
          </cell>
          <cell r="E62">
            <v>-909271.93</v>
          </cell>
        </row>
        <row r="63">
          <cell r="A63">
            <v>2065</v>
          </cell>
          <cell r="B63" t="str">
            <v>Accrued P/R Taxes</v>
          </cell>
          <cell r="C63">
            <v>-417536.08</v>
          </cell>
          <cell r="E63">
            <v>-417536.08</v>
          </cell>
        </row>
        <row r="64">
          <cell r="A64">
            <v>2075</v>
          </cell>
          <cell r="B64" t="str">
            <v>Accrued 401(K)</v>
          </cell>
          <cell r="C64">
            <v>-72661.3</v>
          </cell>
          <cell r="E64">
            <v>-72661.3</v>
          </cell>
        </row>
        <row r="65">
          <cell r="A65">
            <v>2085</v>
          </cell>
          <cell r="B65" t="str">
            <v>Accrued Flex Spending</v>
          </cell>
          <cell r="C65">
            <v>-40770.92</v>
          </cell>
          <cell r="E65">
            <v>-40770.92</v>
          </cell>
        </row>
        <row r="66">
          <cell r="A66">
            <v>2120</v>
          </cell>
          <cell r="B66" t="str">
            <v>Accrued Sales &amp; Used Tax</v>
          </cell>
          <cell r="C66">
            <v>-64817.56</v>
          </cell>
          <cell r="E66">
            <v>-64817.56</v>
          </cell>
        </row>
        <row r="67">
          <cell r="A67">
            <v>2121</v>
          </cell>
          <cell r="B67" t="str">
            <v>Accrued use tax - Vendor</v>
          </cell>
          <cell r="C67">
            <v>-10733.27</v>
          </cell>
          <cell r="E67">
            <v>-10733.27</v>
          </cell>
        </row>
        <row r="68">
          <cell r="A68">
            <v>2140</v>
          </cell>
          <cell r="B68" t="str">
            <v>Deferred Rents - ST</v>
          </cell>
          <cell r="C68">
            <v>-312955.76</v>
          </cell>
          <cell r="E68">
            <v>-312955.76</v>
          </cell>
        </row>
        <row r="69">
          <cell r="A69">
            <v>2145</v>
          </cell>
          <cell r="B69" t="str">
            <v>Refundable Options</v>
          </cell>
          <cell r="C69">
            <v>-13879404.119999999</v>
          </cell>
          <cell r="E69">
            <v>-13879404.119999999</v>
          </cell>
          <cell r="F69">
            <v>10454419.869999999</v>
          </cell>
        </row>
        <row r="70">
          <cell r="A70">
            <v>2147</v>
          </cell>
          <cell r="B70" t="str">
            <v>Pref Stock Warrant Liab</v>
          </cell>
          <cell r="C70">
            <v>-22941.06</v>
          </cell>
          <cell r="E70">
            <v>-22941.06</v>
          </cell>
        </row>
        <row r="71">
          <cell r="A71">
            <v>2150</v>
          </cell>
          <cell r="B71" t="str">
            <v>Deferred Revenues</v>
          </cell>
          <cell r="C71">
            <v>-98308016.890000001</v>
          </cell>
          <cell r="E71">
            <v>-98308016.890000001</v>
          </cell>
          <cell r="G71">
            <v>25000000</v>
          </cell>
        </row>
        <row r="72">
          <cell r="A72">
            <v>2210</v>
          </cell>
          <cell r="B72" t="str">
            <v>Short-Term Debt</v>
          </cell>
          <cell r="C72">
            <v>-0.01</v>
          </cell>
          <cell r="E72">
            <v>-0.01</v>
          </cell>
        </row>
        <row r="73">
          <cell r="A73">
            <v>2211</v>
          </cell>
          <cell r="B73" t="str">
            <v>Miscellaneous receipts</v>
          </cell>
          <cell r="C73">
            <v>-3000000</v>
          </cell>
          <cell r="E73">
            <v>-3000000</v>
          </cell>
        </row>
        <row r="74">
          <cell r="A74">
            <v>2310</v>
          </cell>
          <cell r="B74" t="str">
            <v>Current Capital Leases</v>
          </cell>
          <cell r="C74">
            <v>-132266.47</v>
          </cell>
          <cell r="E74">
            <v>-132266.47</v>
          </cell>
        </row>
        <row r="75">
          <cell r="A75">
            <v>2410</v>
          </cell>
          <cell r="B75" t="str">
            <v>Deferred Rent - LT</v>
          </cell>
          <cell r="C75">
            <v>-1571605.24</v>
          </cell>
          <cell r="E75">
            <v>-1571605.24</v>
          </cell>
        </row>
        <row r="76">
          <cell r="A76">
            <v>2425</v>
          </cell>
          <cell r="B76" t="str">
            <v>Note Payable</v>
          </cell>
          <cell r="C76">
            <v>-40000000</v>
          </cell>
          <cell r="E76">
            <v>-40000000</v>
          </cell>
        </row>
        <row r="77">
          <cell r="A77">
            <v>2426</v>
          </cell>
          <cell r="B77" t="str">
            <v>Note Interest payable</v>
          </cell>
          <cell r="C77">
            <v>-173150.69</v>
          </cell>
          <cell r="E77">
            <v>-173150.69</v>
          </cell>
        </row>
        <row r="78">
          <cell r="A78">
            <v>2510</v>
          </cell>
          <cell r="B78" t="str">
            <v>Capital Lease Obligation</v>
          </cell>
          <cell r="C78">
            <v>-231073.28</v>
          </cell>
          <cell r="E78">
            <v>-231073.28</v>
          </cell>
        </row>
        <row r="79">
          <cell r="A79">
            <v>3010</v>
          </cell>
          <cell r="B79" t="str">
            <v>Common stock</v>
          </cell>
          <cell r="C79">
            <v>-3522.66</v>
          </cell>
          <cell r="E79">
            <v>-3522.66</v>
          </cell>
          <cell r="F79">
            <v>556.05999999999995</v>
          </cell>
        </row>
        <row r="80">
          <cell r="A80">
            <v>3015</v>
          </cell>
          <cell r="B80" t="str">
            <v>Add'l PIC - C/S</v>
          </cell>
          <cell r="C80">
            <v>-13503498.880000001</v>
          </cell>
          <cell r="E80">
            <v>-13503498.880000001</v>
          </cell>
          <cell r="F80">
            <v>6282933.2400000002</v>
          </cell>
        </row>
        <row r="81">
          <cell r="A81">
            <v>3020</v>
          </cell>
          <cell r="B81" t="str">
            <v>Series A Preferred stock</v>
          </cell>
          <cell r="C81">
            <v>-926.4</v>
          </cell>
          <cell r="E81">
            <v>-926.4</v>
          </cell>
        </row>
        <row r="82">
          <cell r="A82">
            <v>3025</v>
          </cell>
          <cell r="B82" t="str">
            <v>Add'l PIC - Series A</v>
          </cell>
          <cell r="C82">
            <v>-6391349.5300000003</v>
          </cell>
          <cell r="E82">
            <v>-6391349.5300000003</v>
          </cell>
        </row>
        <row r="83">
          <cell r="A83">
            <v>3030</v>
          </cell>
          <cell r="B83" t="str">
            <v>Series B - Pref stock</v>
          </cell>
          <cell r="C83">
            <v>-1083.26</v>
          </cell>
          <cell r="E83">
            <v>-1083.26</v>
          </cell>
        </row>
        <row r="84">
          <cell r="A84">
            <v>3032</v>
          </cell>
          <cell r="B84" t="str">
            <v>Series B Issuance costs</v>
          </cell>
          <cell r="C84">
            <v>153728.4</v>
          </cell>
          <cell r="E84">
            <v>153728.4</v>
          </cell>
        </row>
        <row r="85">
          <cell r="A85">
            <v>3035</v>
          </cell>
          <cell r="B85" t="str">
            <v>Add'l PIC - Series B</v>
          </cell>
          <cell r="C85">
            <v>-9998916.6899999995</v>
          </cell>
          <cell r="E85">
            <v>-9998916.6899999995</v>
          </cell>
        </row>
        <row r="86">
          <cell r="A86">
            <v>3040</v>
          </cell>
          <cell r="B86" t="str">
            <v>Series C - Pref Stocks</v>
          </cell>
          <cell r="C86">
            <v>-1176.3399999999999</v>
          </cell>
          <cell r="E86">
            <v>-1176.3399999999999</v>
          </cell>
        </row>
        <row r="87">
          <cell r="A87">
            <v>3042</v>
          </cell>
          <cell r="B87" t="str">
            <v>Series C - Issuance cost</v>
          </cell>
          <cell r="C87">
            <v>152658.68</v>
          </cell>
          <cell r="E87">
            <v>152658.68</v>
          </cell>
        </row>
        <row r="88">
          <cell r="A88">
            <v>3045</v>
          </cell>
          <cell r="B88" t="str">
            <v>Add'l PIC - Series C</v>
          </cell>
          <cell r="C88">
            <v>-33159827.300000001</v>
          </cell>
          <cell r="E88">
            <v>-33159827.300000001</v>
          </cell>
        </row>
        <row r="89">
          <cell r="A89">
            <v>3046</v>
          </cell>
          <cell r="B89" t="str">
            <v>Series C-1 Pref stocks</v>
          </cell>
          <cell r="C89">
            <v>-370.17</v>
          </cell>
          <cell r="E89">
            <v>-370.17</v>
          </cell>
        </row>
        <row r="90">
          <cell r="A90">
            <v>3048</v>
          </cell>
          <cell r="B90" t="str">
            <v>Series C-1 Issuance cost</v>
          </cell>
          <cell r="C90">
            <v>83723</v>
          </cell>
          <cell r="E90">
            <v>83723</v>
          </cell>
        </row>
        <row r="91">
          <cell r="A91">
            <v>3049</v>
          </cell>
          <cell r="B91" t="str">
            <v>Add'l PIC - Series C-1</v>
          </cell>
          <cell r="C91">
            <v>-55524634.829999998</v>
          </cell>
          <cell r="E91">
            <v>-55524634.829999998</v>
          </cell>
        </row>
        <row r="92">
          <cell r="A92">
            <v>3060</v>
          </cell>
          <cell r="B92" t="str">
            <v>Unrealized gain/loss Inv</v>
          </cell>
          <cell r="C92">
            <v>-12729.27</v>
          </cell>
          <cell r="E92">
            <v>-12729.27</v>
          </cell>
        </row>
        <row r="93">
          <cell r="A93">
            <v>3090</v>
          </cell>
          <cell r="B93" t="str">
            <v>Accum. Retained Earning</v>
          </cell>
          <cell r="C93">
            <v>104153138.15000001</v>
          </cell>
          <cell r="E93">
            <v>104153138.15000001</v>
          </cell>
          <cell r="F93">
            <v>66946.28</v>
          </cell>
        </row>
        <row r="94">
          <cell r="A94">
            <v>4900</v>
          </cell>
          <cell r="B94" t="str">
            <v>Misc Revenue - OOP costs</v>
          </cell>
          <cell r="C94">
            <v>-1285</v>
          </cell>
          <cell r="E94">
            <v>-1285</v>
          </cell>
        </row>
        <row r="95">
          <cell r="A95">
            <v>5300</v>
          </cell>
          <cell r="B95" t="str">
            <v>Laboratory test</v>
          </cell>
          <cell r="C95">
            <v>56012.53</v>
          </cell>
          <cell r="E95">
            <v>56012.53</v>
          </cell>
        </row>
        <row r="96">
          <cell r="A96">
            <v>5400</v>
          </cell>
          <cell r="B96" t="str">
            <v>Freight charges</v>
          </cell>
          <cell r="C96">
            <v>5898.56</v>
          </cell>
          <cell r="E96">
            <v>5898.56</v>
          </cell>
        </row>
        <row r="97">
          <cell r="A97">
            <v>5610</v>
          </cell>
          <cell r="B97" t="str">
            <v>Floor Stock - Cartridges</v>
          </cell>
          <cell r="C97">
            <v>529</v>
          </cell>
          <cell r="E97">
            <v>529</v>
          </cell>
        </row>
        <row r="98">
          <cell r="A98">
            <v>5700</v>
          </cell>
          <cell r="B98" t="str">
            <v>Scrap Costs</v>
          </cell>
          <cell r="C98">
            <v>6176</v>
          </cell>
          <cell r="E98">
            <v>6176</v>
          </cell>
        </row>
        <row r="99">
          <cell r="A99">
            <v>5730</v>
          </cell>
          <cell r="B99" t="str">
            <v>Method Variance</v>
          </cell>
          <cell r="C99">
            <v>26409.87</v>
          </cell>
          <cell r="E99">
            <v>26409.87</v>
          </cell>
        </row>
        <row r="100">
          <cell r="A100">
            <v>5850</v>
          </cell>
          <cell r="B100" t="str">
            <v>PO Price Variance</v>
          </cell>
          <cell r="C100">
            <v>55379.1</v>
          </cell>
          <cell r="E100">
            <v>55379.1</v>
          </cell>
        </row>
        <row r="101">
          <cell r="A101">
            <v>5855</v>
          </cell>
          <cell r="B101" t="str">
            <v>AP Variance</v>
          </cell>
          <cell r="C101">
            <v>-3779.05</v>
          </cell>
          <cell r="E101">
            <v>-3779.05</v>
          </cell>
        </row>
        <row r="102">
          <cell r="A102">
            <v>5900</v>
          </cell>
          <cell r="B102" t="str">
            <v>Labor - Applied</v>
          </cell>
          <cell r="C102">
            <v>-18149.55</v>
          </cell>
          <cell r="E102">
            <v>-18149.55</v>
          </cell>
        </row>
        <row r="103">
          <cell r="A103">
            <v>5905</v>
          </cell>
          <cell r="B103" t="str">
            <v>OH applied - Cartridges</v>
          </cell>
          <cell r="C103">
            <v>-24310</v>
          </cell>
          <cell r="E103">
            <v>-24310</v>
          </cell>
        </row>
        <row r="104">
          <cell r="A104">
            <v>5998</v>
          </cell>
          <cell r="B104" t="str">
            <v>Cost of Production</v>
          </cell>
          <cell r="C104">
            <v>41389.760000000002</v>
          </cell>
          <cell r="E104">
            <v>41389.760000000002</v>
          </cell>
        </row>
        <row r="105">
          <cell r="A105">
            <v>5999</v>
          </cell>
          <cell r="B105" t="str">
            <v>Transfer Clearing</v>
          </cell>
          <cell r="D105">
            <v>-55665.79</v>
          </cell>
          <cell r="E105">
            <v>-55665.79</v>
          </cell>
          <cell r="H105">
            <v>55665.79</v>
          </cell>
        </row>
        <row r="106">
          <cell r="A106">
            <v>6000</v>
          </cell>
          <cell r="B106" t="str">
            <v>Salaries &amp; Wages</v>
          </cell>
          <cell r="C106">
            <v>20182026.760000002</v>
          </cell>
          <cell r="E106">
            <v>20182026.760000002</v>
          </cell>
        </row>
        <row r="107">
          <cell r="A107">
            <v>6040</v>
          </cell>
          <cell r="B107" t="str">
            <v>Accrued vacation PTO</v>
          </cell>
          <cell r="C107">
            <v>433662.84</v>
          </cell>
          <cell r="E107">
            <v>433662.84</v>
          </cell>
        </row>
        <row r="108">
          <cell r="A108">
            <v>6045</v>
          </cell>
          <cell r="B108" t="str">
            <v>Payroll Taxes</v>
          </cell>
          <cell r="C108">
            <v>1511257.28</v>
          </cell>
          <cell r="E108">
            <v>1511257.28</v>
          </cell>
        </row>
        <row r="109">
          <cell r="A109">
            <v>6065</v>
          </cell>
          <cell r="B109" t="str">
            <v>Health Insurance</v>
          </cell>
          <cell r="C109">
            <v>1429985.9</v>
          </cell>
          <cell r="E109">
            <v>1429985.9</v>
          </cell>
        </row>
        <row r="110">
          <cell r="A110">
            <v>6070</v>
          </cell>
          <cell r="B110" t="str">
            <v>Staff Welfare</v>
          </cell>
          <cell r="C110">
            <v>1918951.9</v>
          </cell>
          <cell r="E110">
            <v>1918951.9</v>
          </cell>
        </row>
        <row r="111">
          <cell r="A111">
            <v>6080</v>
          </cell>
          <cell r="B111" t="str">
            <v>Other Fringe Beneftis</v>
          </cell>
          <cell r="C111">
            <v>7414</v>
          </cell>
          <cell r="E111">
            <v>7414</v>
          </cell>
        </row>
        <row r="112">
          <cell r="A112">
            <v>6082</v>
          </cell>
          <cell r="B112" t="str">
            <v>Other benefits - mileage</v>
          </cell>
          <cell r="C112">
            <v>9926.83</v>
          </cell>
          <cell r="E112">
            <v>9926.83</v>
          </cell>
        </row>
        <row r="113">
          <cell r="A113">
            <v>6083</v>
          </cell>
          <cell r="B113" t="str">
            <v>Other benefits - others</v>
          </cell>
          <cell r="C113">
            <v>4616.88</v>
          </cell>
          <cell r="E113">
            <v>4616.88</v>
          </cell>
        </row>
        <row r="114">
          <cell r="A114">
            <v>6200</v>
          </cell>
          <cell r="B114" t="str">
            <v>Consulting Services</v>
          </cell>
          <cell r="C114">
            <v>2860183.65</v>
          </cell>
          <cell r="E114">
            <v>2860183.65</v>
          </cell>
        </row>
        <row r="115">
          <cell r="A115">
            <v>6250</v>
          </cell>
          <cell r="B115" t="str">
            <v>Director's fee</v>
          </cell>
          <cell r="C115">
            <v>56250</v>
          </cell>
          <cell r="E115">
            <v>56250</v>
          </cell>
        </row>
        <row r="116">
          <cell r="A116">
            <v>6300</v>
          </cell>
          <cell r="B116" t="str">
            <v>Contractor/Temp InDirect</v>
          </cell>
          <cell r="C116">
            <v>210221.56</v>
          </cell>
          <cell r="E116">
            <v>210221.56</v>
          </cell>
        </row>
        <row r="117">
          <cell r="A117">
            <v>6305</v>
          </cell>
          <cell r="B117" t="str">
            <v>Contractors/Temp Direct</v>
          </cell>
          <cell r="C117">
            <v>3137.37</v>
          </cell>
          <cell r="E117">
            <v>3137.37</v>
          </cell>
        </row>
        <row r="118">
          <cell r="A118">
            <v>7100</v>
          </cell>
          <cell r="B118" t="str">
            <v>Depreciation Expense</v>
          </cell>
          <cell r="C118">
            <v>2653383.9300000002</v>
          </cell>
          <cell r="E118">
            <v>2653383.9300000002</v>
          </cell>
        </row>
        <row r="119">
          <cell r="A119">
            <v>7150</v>
          </cell>
          <cell r="B119" t="str">
            <v>Gain/Loss On Disp Of FA</v>
          </cell>
          <cell r="C119">
            <v>5390.31</v>
          </cell>
          <cell r="E119">
            <v>5390.31</v>
          </cell>
        </row>
        <row r="120">
          <cell r="A120">
            <v>7500</v>
          </cell>
          <cell r="B120" t="str">
            <v>Telephone / Fax</v>
          </cell>
          <cell r="C120">
            <v>197881.52</v>
          </cell>
          <cell r="E120">
            <v>197881.52</v>
          </cell>
        </row>
        <row r="121">
          <cell r="A121">
            <v>7505</v>
          </cell>
          <cell r="B121" t="str">
            <v>Facility Rental</v>
          </cell>
          <cell r="C121">
            <v>4407979.96</v>
          </cell>
          <cell r="E121">
            <v>4407979.96</v>
          </cell>
        </row>
        <row r="122">
          <cell r="A122">
            <v>7510</v>
          </cell>
          <cell r="B122" t="str">
            <v>Facility Services</v>
          </cell>
          <cell r="C122">
            <v>12900</v>
          </cell>
          <cell r="E122">
            <v>12900</v>
          </cell>
        </row>
        <row r="123">
          <cell r="A123">
            <v>7515</v>
          </cell>
          <cell r="B123" t="str">
            <v>Facility Utilities</v>
          </cell>
          <cell r="C123">
            <v>512710.33</v>
          </cell>
          <cell r="E123">
            <v>512710.33</v>
          </cell>
        </row>
        <row r="124">
          <cell r="A124">
            <v>7520</v>
          </cell>
          <cell r="B124" t="str">
            <v>Facility Janitorial</v>
          </cell>
          <cell r="C124">
            <v>132531.73000000001</v>
          </cell>
          <cell r="E124">
            <v>132531.73000000001</v>
          </cell>
        </row>
        <row r="125">
          <cell r="A125">
            <v>7525</v>
          </cell>
          <cell r="B125" t="str">
            <v>Facility Security</v>
          </cell>
          <cell r="C125">
            <v>20687.53</v>
          </cell>
          <cell r="E125">
            <v>20687.53</v>
          </cell>
        </row>
        <row r="126">
          <cell r="A126">
            <v>7530</v>
          </cell>
          <cell r="B126" t="str">
            <v>Facility Repair/Maint</v>
          </cell>
          <cell r="C126">
            <v>1811256.43</v>
          </cell>
          <cell r="E126">
            <v>1811256.43</v>
          </cell>
        </row>
        <row r="127">
          <cell r="A127">
            <v>7531</v>
          </cell>
          <cell r="B127" t="str">
            <v>Facility Fixtures</v>
          </cell>
          <cell r="C127">
            <v>28200.59</v>
          </cell>
          <cell r="E127">
            <v>28200.59</v>
          </cell>
        </row>
        <row r="128">
          <cell r="A128">
            <v>7535</v>
          </cell>
          <cell r="B128" t="str">
            <v>Facility Licenses/permit</v>
          </cell>
          <cell r="C128">
            <v>10748</v>
          </cell>
          <cell r="E128">
            <v>10748</v>
          </cell>
        </row>
        <row r="129">
          <cell r="A129">
            <v>7540</v>
          </cell>
          <cell r="B129" t="str">
            <v>Facility Network Comm</v>
          </cell>
          <cell r="C129">
            <v>90547.199999999997</v>
          </cell>
          <cell r="E129">
            <v>90547.199999999997</v>
          </cell>
        </row>
        <row r="130">
          <cell r="A130">
            <v>7545</v>
          </cell>
          <cell r="B130" t="str">
            <v>Facility Insurance</v>
          </cell>
          <cell r="C130">
            <v>293</v>
          </cell>
          <cell r="E130">
            <v>293</v>
          </cell>
        </row>
        <row r="131">
          <cell r="A131">
            <v>7550</v>
          </cell>
          <cell r="B131" t="str">
            <v>Facility Property Tax</v>
          </cell>
          <cell r="C131">
            <v>45859.85</v>
          </cell>
          <cell r="E131">
            <v>45859.85</v>
          </cell>
        </row>
        <row r="132">
          <cell r="A132">
            <v>7555</v>
          </cell>
          <cell r="B132" t="str">
            <v>Other Facility Costs</v>
          </cell>
          <cell r="C132">
            <v>87050.49</v>
          </cell>
          <cell r="E132">
            <v>87050.49</v>
          </cell>
        </row>
        <row r="133">
          <cell r="A133">
            <v>7561</v>
          </cell>
          <cell r="B133" t="str">
            <v>Facility - moving</v>
          </cell>
          <cell r="C133">
            <v>211450.49</v>
          </cell>
          <cell r="E133">
            <v>211450.49</v>
          </cell>
        </row>
        <row r="134">
          <cell r="A134">
            <v>7800</v>
          </cell>
          <cell r="B134" t="str">
            <v>R&amp;D Materials</v>
          </cell>
          <cell r="C134">
            <v>5951323.04</v>
          </cell>
          <cell r="E134">
            <v>5951323.04</v>
          </cell>
          <cell r="H134">
            <v>-59495.840000000004</v>
          </cell>
          <cell r="I134">
            <v>94273.47</v>
          </cell>
        </row>
        <row r="135">
          <cell r="A135">
            <v>7805</v>
          </cell>
          <cell r="B135" t="str">
            <v>QA &amp; Test Lab Expenses</v>
          </cell>
          <cell r="C135">
            <v>687.08</v>
          </cell>
          <cell r="E135">
            <v>687.08</v>
          </cell>
        </row>
        <row r="136">
          <cell r="A136">
            <v>7810</v>
          </cell>
          <cell r="B136" t="str">
            <v>Clin/Dev EQT Rental</v>
          </cell>
          <cell r="C136">
            <v>22.57</v>
          </cell>
          <cell r="E136">
            <v>22.57</v>
          </cell>
        </row>
        <row r="137">
          <cell r="A137">
            <v>7815</v>
          </cell>
          <cell r="B137" t="str">
            <v>Clinical Trial Expenses</v>
          </cell>
          <cell r="C137">
            <v>2000</v>
          </cell>
          <cell r="E137">
            <v>2000</v>
          </cell>
        </row>
        <row r="138">
          <cell r="A138">
            <v>7825</v>
          </cell>
          <cell r="B138" t="str">
            <v>Purchased Parts</v>
          </cell>
          <cell r="C138">
            <v>2496733.59</v>
          </cell>
          <cell r="E138">
            <v>2496733.59</v>
          </cell>
          <cell r="H138">
            <v>-514424.63000000006</v>
          </cell>
        </row>
        <row r="139">
          <cell r="A139">
            <v>7830</v>
          </cell>
          <cell r="B139" t="str">
            <v>Fabricated Parts</v>
          </cell>
          <cell r="C139">
            <v>318217.82</v>
          </cell>
          <cell r="E139">
            <v>318217.82</v>
          </cell>
          <cell r="H139">
            <v>-37356.020000000004</v>
          </cell>
        </row>
        <row r="140">
          <cell r="A140">
            <v>7832</v>
          </cell>
          <cell r="B140" t="str">
            <v>NRE charge</v>
          </cell>
          <cell r="C140">
            <v>4887.9399999999996</v>
          </cell>
          <cell r="E140">
            <v>4887.9399999999996</v>
          </cell>
          <cell r="H140">
            <v>-2637.9399999999996</v>
          </cell>
        </row>
        <row r="141">
          <cell r="A141">
            <v>7835</v>
          </cell>
          <cell r="B141" t="str">
            <v>Catridge Supplies</v>
          </cell>
          <cell r="C141">
            <v>31576.01</v>
          </cell>
          <cell r="E141">
            <v>31576.01</v>
          </cell>
        </row>
        <row r="142">
          <cell r="A142">
            <v>7840</v>
          </cell>
          <cell r="B142" t="str">
            <v>Reagents</v>
          </cell>
          <cell r="C142">
            <v>1165443.67</v>
          </cell>
          <cell r="E142">
            <v>1165443.67</v>
          </cell>
        </row>
        <row r="143">
          <cell r="A143">
            <v>7845</v>
          </cell>
          <cell r="B143" t="str">
            <v>Antibodies</v>
          </cell>
          <cell r="C143">
            <v>522641.53</v>
          </cell>
          <cell r="E143">
            <v>522641.53</v>
          </cell>
        </row>
        <row r="144">
          <cell r="A144">
            <v>7846</v>
          </cell>
          <cell r="B144" t="str">
            <v>Human Blood products</v>
          </cell>
          <cell r="C144">
            <v>55379.1</v>
          </cell>
          <cell r="E144">
            <v>55379.1</v>
          </cell>
        </row>
        <row r="145">
          <cell r="A145">
            <v>7847</v>
          </cell>
          <cell r="B145" t="str">
            <v>Human body parts</v>
          </cell>
          <cell r="C145">
            <v>8801.08</v>
          </cell>
          <cell r="E145">
            <v>8801.08</v>
          </cell>
        </row>
        <row r="146">
          <cell r="A146">
            <v>7850</v>
          </cell>
          <cell r="B146" t="str">
            <v>Chemicals</v>
          </cell>
          <cell r="C146">
            <v>4163.76</v>
          </cell>
          <cell r="E146">
            <v>4163.76</v>
          </cell>
        </row>
        <row r="147">
          <cell r="A147">
            <v>7851</v>
          </cell>
          <cell r="B147" t="str">
            <v>Regulated Chemicals</v>
          </cell>
          <cell r="C147">
            <v>3640.35</v>
          </cell>
          <cell r="E147">
            <v>3640.35</v>
          </cell>
        </row>
        <row r="148">
          <cell r="A148">
            <v>7865</v>
          </cell>
          <cell r="B148" t="str">
            <v>Software Tools</v>
          </cell>
          <cell r="C148">
            <v>335</v>
          </cell>
          <cell r="E148">
            <v>335</v>
          </cell>
        </row>
        <row r="149">
          <cell r="A149">
            <v>7870</v>
          </cell>
          <cell r="B149" t="str">
            <v>Freight in - R&amp;D</v>
          </cell>
          <cell r="C149">
            <v>463892.38</v>
          </cell>
          <cell r="E149">
            <v>463892.38</v>
          </cell>
          <cell r="H149">
            <v>-24143.180000000015</v>
          </cell>
        </row>
        <row r="150">
          <cell r="A150">
            <v>7875</v>
          </cell>
          <cell r="B150" t="str">
            <v>Shipping and Handling</v>
          </cell>
          <cell r="C150">
            <v>23832.5</v>
          </cell>
          <cell r="E150">
            <v>23832.5</v>
          </cell>
          <cell r="H150">
            <v>-1553.81</v>
          </cell>
        </row>
        <row r="151">
          <cell r="A151">
            <v>7999</v>
          </cell>
          <cell r="B151" t="str">
            <v>R&amp;D inventory</v>
          </cell>
          <cell r="C151">
            <v>-11383.58</v>
          </cell>
          <cell r="D151">
            <v>56.7</v>
          </cell>
          <cell r="E151">
            <v>-11326.88</v>
          </cell>
        </row>
        <row r="152">
          <cell r="A152">
            <v>8000</v>
          </cell>
          <cell r="B152" t="str">
            <v>Conference/Seminar/Train</v>
          </cell>
          <cell r="C152">
            <v>32772.14</v>
          </cell>
          <cell r="E152">
            <v>32772.14</v>
          </cell>
        </row>
        <row r="153">
          <cell r="A153">
            <v>8015</v>
          </cell>
          <cell r="B153" t="str">
            <v>Advertising</v>
          </cell>
          <cell r="C153">
            <v>1212276.3</v>
          </cell>
          <cell r="E153">
            <v>1212276.3</v>
          </cell>
          <cell r="H153">
            <v>-7794.6799999999985</v>
          </cell>
        </row>
        <row r="154">
          <cell r="A154">
            <v>8025</v>
          </cell>
          <cell r="B154" t="str">
            <v>Graphic Design</v>
          </cell>
          <cell r="C154">
            <v>526.52</v>
          </cell>
          <cell r="E154">
            <v>526.52</v>
          </cell>
        </row>
        <row r="155">
          <cell r="A155">
            <v>8045</v>
          </cell>
          <cell r="B155" t="str">
            <v>Market Research</v>
          </cell>
          <cell r="C155">
            <v>3228.72</v>
          </cell>
          <cell r="E155">
            <v>3228.72</v>
          </cell>
        </row>
        <row r="156">
          <cell r="A156">
            <v>8046</v>
          </cell>
          <cell r="B156" t="str">
            <v>Study cost</v>
          </cell>
          <cell r="C156">
            <v>14995</v>
          </cell>
          <cell r="E156">
            <v>14995</v>
          </cell>
        </row>
        <row r="157">
          <cell r="A157">
            <v>8050</v>
          </cell>
          <cell r="B157" t="str">
            <v>Public Relations</v>
          </cell>
          <cell r="C157">
            <v>11111.11</v>
          </cell>
          <cell r="E157">
            <v>11111.11</v>
          </cell>
        </row>
        <row r="158">
          <cell r="A158">
            <v>8100</v>
          </cell>
          <cell r="B158" t="str">
            <v>Account Services</v>
          </cell>
          <cell r="C158">
            <v>7181.71</v>
          </cell>
          <cell r="E158">
            <v>7181.71</v>
          </cell>
        </row>
        <row r="159">
          <cell r="A159">
            <v>8105</v>
          </cell>
          <cell r="B159" t="str">
            <v>Auditing Services</v>
          </cell>
          <cell r="C159">
            <v>100000</v>
          </cell>
          <cell r="E159">
            <v>100000</v>
          </cell>
        </row>
        <row r="160">
          <cell r="A160">
            <v>8110</v>
          </cell>
          <cell r="B160" t="str">
            <v>Tax Services</v>
          </cell>
          <cell r="C160">
            <v>25575</v>
          </cell>
          <cell r="E160">
            <v>25575</v>
          </cell>
        </row>
        <row r="161">
          <cell r="A161">
            <v>8115</v>
          </cell>
          <cell r="B161" t="str">
            <v>Legal - General</v>
          </cell>
          <cell r="C161">
            <v>158340.45000000001</v>
          </cell>
          <cell r="E161">
            <v>158340.45000000001</v>
          </cell>
        </row>
        <row r="162">
          <cell r="A162">
            <v>8117</v>
          </cell>
          <cell r="B162" t="str">
            <v>Legal - employment</v>
          </cell>
          <cell r="C162">
            <v>1109811.05</v>
          </cell>
          <cell r="E162">
            <v>1109811.05</v>
          </cell>
        </row>
        <row r="163">
          <cell r="A163">
            <v>8120</v>
          </cell>
          <cell r="B163" t="str">
            <v>Legal - Litigation</v>
          </cell>
          <cell r="C163">
            <v>1817797.82</v>
          </cell>
          <cell r="E163">
            <v>1817797.82</v>
          </cell>
        </row>
        <row r="164">
          <cell r="A164">
            <v>8125</v>
          </cell>
          <cell r="B164" t="str">
            <v>Legal - Patents</v>
          </cell>
          <cell r="C164">
            <v>1416019.87</v>
          </cell>
          <cell r="E164">
            <v>1416019.87</v>
          </cell>
        </row>
        <row r="165">
          <cell r="A165">
            <v>8130</v>
          </cell>
          <cell r="B165" t="str">
            <v>Legal - Trademarks</v>
          </cell>
          <cell r="C165">
            <v>209426.09</v>
          </cell>
          <cell r="E165">
            <v>209426.09</v>
          </cell>
        </row>
        <row r="166">
          <cell r="A166">
            <v>8132</v>
          </cell>
          <cell r="B166" t="str">
            <v>Legal - License</v>
          </cell>
          <cell r="C166">
            <v>102</v>
          </cell>
          <cell r="E166">
            <v>102</v>
          </cell>
        </row>
        <row r="167">
          <cell r="A167">
            <v>8135</v>
          </cell>
          <cell r="B167" t="str">
            <v>Regulatory Submissions</v>
          </cell>
          <cell r="C167">
            <v>2655</v>
          </cell>
          <cell r="E167">
            <v>2655</v>
          </cell>
        </row>
        <row r="168">
          <cell r="A168">
            <v>8140</v>
          </cell>
          <cell r="B168" t="str">
            <v>Legal - Regulatory</v>
          </cell>
          <cell r="C168">
            <v>122760.01</v>
          </cell>
          <cell r="E168">
            <v>122760.01</v>
          </cell>
        </row>
        <row r="169">
          <cell r="A169">
            <v>8150</v>
          </cell>
          <cell r="B169" t="str">
            <v>Meals &amp; Entertainments</v>
          </cell>
          <cell r="C169">
            <v>2667.9</v>
          </cell>
          <cell r="E169">
            <v>2667.9</v>
          </cell>
        </row>
        <row r="170">
          <cell r="A170">
            <v>8200</v>
          </cell>
          <cell r="B170" t="str">
            <v>Insurance - General</v>
          </cell>
          <cell r="C170">
            <v>126554.95</v>
          </cell>
          <cell r="E170">
            <v>126554.95</v>
          </cell>
        </row>
        <row r="171">
          <cell r="A171">
            <v>8205</v>
          </cell>
          <cell r="B171" t="str">
            <v>Insurance - Prod Liab</v>
          </cell>
          <cell r="C171">
            <v>55040.17</v>
          </cell>
          <cell r="E171">
            <v>55040.17</v>
          </cell>
        </row>
        <row r="172">
          <cell r="A172">
            <v>8300</v>
          </cell>
          <cell r="B172" t="str">
            <v>Expensed Equipment</v>
          </cell>
          <cell r="C172">
            <v>378980.43</v>
          </cell>
          <cell r="E172">
            <v>378980.43</v>
          </cell>
          <cell r="H172">
            <v>-2.2737367544323206E-12</v>
          </cell>
        </row>
        <row r="173">
          <cell r="A173">
            <v>8301</v>
          </cell>
          <cell r="B173" t="str">
            <v>Expensed furn &amp; fixture</v>
          </cell>
          <cell r="C173">
            <v>175218.38</v>
          </cell>
          <cell r="E173">
            <v>175218.38</v>
          </cell>
        </row>
        <row r="174">
          <cell r="A174">
            <v>8302</v>
          </cell>
          <cell r="B174" t="str">
            <v>Expensed mold</v>
          </cell>
          <cell r="C174">
            <v>13492.69</v>
          </cell>
          <cell r="E174">
            <v>13492.69</v>
          </cell>
        </row>
        <row r="175">
          <cell r="A175">
            <v>8304</v>
          </cell>
          <cell r="B175" t="str">
            <v>Exp Eqt/computer Offsite</v>
          </cell>
          <cell r="C175">
            <v>124895.69</v>
          </cell>
          <cell r="E175">
            <v>124895.69</v>
          </cell>
          <cell r="H175">
            <v>-13306.22</v>
          </cell>
        </row>
        <row r="176">
          <cell r="A176">
            <v>8305</v>
          </cell>
          <cell r="B176" t="str">
            <v>Computer Supplies</v>
          </cell>
          <cell r="C176">
            <v>442031.88</v>
          </cell>
          <cell r="E176">
            <v>442031.88</v>
          </cell>
        </row>
        <row r="177">
          <cell r="A177">
            <v>8307</v>
          </cell>
          <cell r="B177" t="str">
            <v>Computer supplies - LAN</v>
          </cell>
          <cell r="C177">
            <v>2131.33</v>
          </cell>
          <cell r="E177">
            <v>2131.33</v>
          </cell>
        </row>
        <row r="178">
          <cell r="A178">
            <v>8310</v>
          </cell>
          <cell r="B178" t="str">
            <v>Expensed Software</v>
          </cell>
          <cell r="C178">
            <v>132385.1</v>
          </cell>
          <cell r="E178">
            <v>132385.1</v>
          </cell>
        </row>
        <row r="179">
          <cell r="A179">
            <v>8315</v>
          </cell>
          <cell r="B179" t="str">
            <v>Software Maintenance</v>
          </cell>
          <cell r="C179">
            <v>191614.24</v>
          </cell>
          <cell r="E179">
            <v>191614.24</v>
          </cell>
        </row>
        <row r="180">
          <cell r="A180">
            <v>8401</v>
          </cell>
          <cell r="B180" t="str">
            <v>Equipment supplies</v>
          </cell>
          <cell r="C180">
            <v>23889.69</v>
          </cell>
          <cell r="E180">
            <v>23889.69</v>
          </cell>
        </row>
        <row r="181">
          <cell r="A181">
            <v>8405</v>
          </cell>
          <cell r="B181" t="str">
            <v>Office Supplies</v>
          </cell>
          <cell r="C181">
            <v>187777.78</v>
          </cell>
          <cell r="E181">
            <v>187777.78</v>
          </cell>
        </row>
        <row r="182">
          <cell r="A182">
            <v>8406</v>
          </cell>
          <cell r="B182" t="str">
            <v>Office services</v>
          </cell>
          <cell r="C182">
            <v>65405.55</v>
          </cell>
          <cell r="E182">
            <v>65405.55</v>
          </cell>
        </row>
        <row r="183">
          <cell r="A183">
            <v>8410</v>
          </cell>
          <cell r="B183" t="str">
            <v>Postage &amp; Delivery</v>
          </cell>
          <cell r="C183">
            <v>98122.3</v>
          </cell>
          <cell r="E183">
            <v>98122.3</v>
          </cell>
        </row>
        <row r="184">
          <cell r="A184">
            <v>8415</v>
          </cell>
          <cell r="B184" t="str">
            <v>Dues, Subscriptn &amp; Books</v>
          </cell>
          <cell r="C184">
            <v>131358.66</v>
          </cell>
          <cell r="E184">
            <v>131358.66</v>
          </cell>
        </row>
        <row r="185">
          <cell r="A185">
            <v>8420</v>
          </cell>
          <cell r="B185" t="str">
            <v>Annual Maint / License</v>
          </cell>
          <cell r="C185">
            <v>95563.06</v>
          </cell>
          <cell r="E185">
            <v>95563.06</v>
          </cell>
        </row>
        <row r="186">
          <cell r="A186">
            <v>8425</v>
          </cell>
          <cell r="B186" t="str">
            <v>Equip Repair / Maint</v>
          </cell>
          <cell r="C186">
            <v>241507.56</v>
          </cell>
          <cell r="E186">
            <v>241507.56</v>
          </cell>
        </row>
        <row r="187">
          <cell r="A187">
            <v>8430</v>
          </cell>
          <cell r="B187" t="str">
            <v>Equipment Lease / Rental</v>
          </cell>
          <cell r="C187">
            <v>79242.3</v>
          </cell>
          <cell r="E187">
            <v>79242.3</v>
          </cell>
        </row>
        <row r="188">
          <cell r="A188">
            <v>8500</v>
          </cell>
          <cell r="B188" t="str">
            <v>Relocation Expenses</v>
          </cell>
          <cell r="C188">
            <v>65755.7</v>
          </cell>
          <cell r="E188">
            <v>65755.7</v>
          </cell>
        </row>
        <row r="189">
          <cell r="A189">
            <v>8505</v>
          </cell>
          <cell r="B189" t="str">
            <v>Recruiting Expenses</v>
          </cell>
          <cell r="C189">
            <v>796875.23</v>
          </cell>
          <cell r="E189">
            <v>796875.23</v>
          </cell>
        </row>
        <row r="190">
          <cell r="A190">
            <v>8550</v>
          </cell>
          <cell r="B190" t="str">
            <v>Bank Charges</v>
          </cell>
          <cell r="C190">
            <v>35162.400000000001</v>
          </cell>
          <cell r="E190">
            <v>35162.400000000001</v>
          </cell>
        </row>
        <row r="191">
          <cell r="A191">
            <v>8600</v>
          </cell>
          <cell r="B191" t="str">
            <v>Travel Expense - Air</v>
          </cell>
          <cell r="C191">
            <v>141091.19</v>
          </cell>
          <cell r="E191">
            <v>141091.19</v>
          </cell>
        </row>
        <row r="192">
          <cell r="A192">
            <v>8601</v>
          </cell>
          <cell r="B192" t="str">
            <v>Travel expense - Air (J)</v>
          </cell>
          <cell r="C192">
            <v>43682.06</v>
          </cell>
          <cell r="E192">
            <v>43682.06</v>
          </cell>
        </row>
        <row r="193">
          <cell r="A193">
            <v>8605</v>
          </cell>
          <cell r="B193" t="str">
            <v>Travel expense - Hotel</v>
          </cell>
          <cell r="C193">
            <v>29294.17</v>
          </cell>
          <cell r="E193">
            <v>29294.17</v>
          </cell>
        </row>
        <row r="194">
          <cell r="A194">
            <v>8607</v>
          </cell>
          <cell r="B194" t="str">
            <v>Travel Expense - Auto</v>
          </cell>
          <cell r="C194">
            <v>45509.83</v>
          </cell>
          <cell r="E194">
            <v>45509.83</v>
          </cell>
        </row>
        <row r="195">
          <cell r="A195">
            <v>8610</v>
          </cell>
          <cell r="B195" t="str">
            <v>Travel - Meals &amp; Entert</v>
          </cell>
          <cell r="C195">
            <v>6426.22</v>
          </cell>
          <cell r="E195">
            <v>6426.22</v>
          </cell>
        </row>
        <row r="196">
          <cell r="A196">
            <v>8615</v>
          </cell>
          <cell r="B196" t="str">
            <v>Travel - Other</v>
          </cell>
          <cell r="C196">
            <v>1520.3400000000001</v>
          </cell>
          <cell r="E196">
            <v>1520.3400000000001</v>
          </cell>
        </row>
        <row r="197">
          <cell r="A197">
            <v>8710</v>
          </cell>
          <cell r="B197" t="str">
            <v>Payroll Processing Fee</v>
          </cell>
          <cell r="C197">
            <v>38357.120000000003</v>
          </cell>
          <cell r="E197">
            <v>38357.120000000003</v>
          </cell>
        </row>
        <row r="198">
          <cell r="A198">
            <v>8715</v>
          </cell>
          <cell r="B198" t="str">
            <v>Charitable Contributions</v>
          </cell>
          <cell r="C198">
            <v>1000</v>
          </cell>
          <cell r="E198">
            <v>1000</v>
          </cell>
        </row>
        <row r="199">
          <cell r="A199">
            <v>8720</v>
          </cell>
          <cell r="B199" t="str">
            <v>Miscellaneous Expenses</v>
          </cell>
          <cell r="C199">
            <v>80129.83</v>
          </cell>
          <cell r="E199">
            <v>80129.83</v>
          </cell>
          <cell r="H199">
            <v>-4.5474735088646412E-13</v>
          </cell>
        </row>
        <row r="200">
          <cell r="A200">
            <v>8725</v>
          </cell>
          <cell r="B200" t="str">
            <v>Other Outside Services</v>
          </cell>
          <cell r="C200">
            <v>471453.51</v>
          </cell>
          <cell r="E200">
            <v>471453.51</v>
          </cell>
          <cell r="H200">
            <v>-10789.49</v>
          </cell>
        </row>
        <row r="201">
          <cell r="A201">
            <v>8800</v>
          </cell>
          <cell r="B201" t="str">
            <v>Supplies for MFG / OPS</v>
          </cell>
          <cell r="C201">
            <v>855721.3</v>
          </cell>
          <cell r="E201">
            <v>855721.3</v>
          </cell>
          <cell r="H201">
            <v>-75269.390000000043</v>
          </cell>
        </row>
        <row r="202">
          <cell r="A202">
            <v>8805</v>
          </cell>
          <cell r="B202" t="str">
            <v>Feight in - Non Inv</v>
          </cell>
          <cell r="C202">
            <v>39345.89</v>
          </cell>
          <cell r="E202">
            <v>39345.89</v>
          </cell>
          <cell r="H202">
            <v>-512.80000000000007</v>
          </cell>
        </row>
        <row r="203">
          <cell r="A203">
            <v>8810</v>
          </cell>
          <cell r="B203" t="str">
            <v>Quality control</v>
          </cell>
          <cell r="C203">
            <v>693.6</v>
          </cell>
          <cell r="E203">
            <v>693.6</v>
          </cell>
          <cell r="H203">
            <v>-693.6</v>
          </cell>
        </row>
        <row r="204">
          <cell r="A204">
            <v>8899</v>
          </cell>
          <cell r="B204" t="str">
            <v>Inventory (Exp)</v>
          </cell>
          <cell r="C204">
            <v>6833299.0099999998</v>
          </cell>
          <cell r="D204">
            <v>32625</v>
          </cell>
          <cell r="E204">
            <v>6865924.0099999998</v>
          </cell>
          <cell r="H204">
            <v>-6825065.2799999928</v>
          </cell>
        </row>
        <row r="205">
          <cell r="A205">
            <v>8900</v>
          </cell>
          <cell r="B205" t="str">
            <v>G&amp;A Allocation - Out</v>
          </cell>
          <cell r="C205">
            <v>-4992623.66</v>
          </cell>
          <cell r="E205">
            <v>-4992623.66</v>
          </cell>
        </row>
        <row r="206">
          <cell r="A206">
            <v>8905</v>
          </cell>
          <cell r="B206" t="str">
            <v>G&amp;A Allocation - In</v>
          </cell>
          <cell r="C206">
            <v>4992623.66</v>
          </cell>
          <cell r="E206">
            <v>4992623.66</v>
          </cell>
        </row>
        <row r="207">
          <cell r="A207">
            <v>8910</v>
          </cell>
          <cell r="B207" t="str">
            <v>Facility Allocation-Out</v>
          </cell>
          <cell r="C207">
            <v>-7053117.8799999999</v>
          </cell>
          <cell r="E207">
            <v>-7053117.8799999999</v>
          </cell>
        </row>
        <row r="208">
          <cell r="A208">
            <v>8915</v>
          </cell>
          <cell r="B208" t="str">
            <v>Facility Allocation - In</v>
          </cell>
          <cell r="C208">
            <v>7053117.8799999999</v>
          </cell>
          <cell r="E208">
            <v>7053117.8799999999</v>
          </cell>
        </row>
        <row r="209">
          <cell r="A209">
            <v>8920</v>
          </cell>
          <cell r="B209" t="str">
            <v>IT Allocation - Out</v>
          </cell>
          <cell r="C209">
            <v>-1795699.27</v>
          </cell>
          <cell r="E209">
            <v>-1795699.27</v>
          </cell>
        </row>
        <row r="210">
          <cell r="A210">
            <v>8925</v>
          </cell>
          <cell r="B210" t="str">
            <v>IT Allocation - In</v>
          </cell>
          <cell r="C210">
            <v>1795699.27</v>
          </cell>
          <cell r="E210">
            <v>1795699.27</v>
          </cell>
        </row>
        <row r="211">
          <cell r="A211">
            <v>9100</v>
          </cell>
          <cell r="B211" t="str">
            <v>Interest Income</v>
          </cell>
          <cell r="C211">
            <v>-405212.92</v>
          </cell>
          <cell r="E211">
            <v>-405212.92</v>
          </cell>
          <cell r="F211">
            <v>318020.24</v>
          </cell>
          <cell r="O211">
            <v>-87193</v>
          </cell>
        </row>
        <row r="212">
          <cell r="A212">
            <v>9105</v>
          </cell>
          <cell r="B212" t="str">
            <v>Interest expenses</v>
          </cell>
          <cell r="C212">
            <v>195860.13</v>
          </cell>
          <cell r="E212">
            <v>195860.13</v>
          </cell>
          <cell r="O212">
            <v>195860</v>
          </cell>
        </row>
        <row r="213">
          <cell r="A213">
            <v>9110</v>
          </cell>
          <cell r="B213" t="str">
            <v>Other expenses</v>
          </cell>
          <cell r="C213">
            <v>49050</v>
          </cell>
          <cell r="E213">
            <v>49050</v>
          </cell>
          <cell r="O213">
            <v>49050</v>
          </cell>
        </row>
        <row r="214">
          <cell r="A214">
            <v>9500</v>
          </cell>
          <cell r="B214" t="str">
            <v>Income tax - States</v>
          </cell>
          <cell r="C214">
            <v>1570</v>
          </cell>
          <cell r="E214">
            <v>1570</v>
          </cell>
          <cell r="O214">
            <v>1570</v>
          </cell>
        </row>
        <row r="215">
          <cell r="A215">
            <v>9999</v>
          </cell>
          <cell r="B215" t="str">
            <v>Suspense</v>
          </cell>
          <cell r="C215">
            <v>42272.47</v>
          </cell>
          <cell r="E215">
            <v>42272.47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Finance/Department/5%20Bank%20and%20financial%20matters/2013/2013%20Tax/Trial%20Balance%20Summary%20-%208_15_2014%2011_22_54%20PM.txt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se Yam" refreshedDate="41866.976198263888" createdVersion="5" refreshedVersion="5" minRefreshableVersion="3" recordCount="853">
  <cacheSource type="worksheet">
    <worksheetSource ref="A9:C862" sheet="Trial Balance Summary - 8_15_20" r:id="rId2"/>
  </cacheSource>
  <cacheFields count="3">
    <cacheField name="Accou" numFmtId="0">
      <sharedItems containsSemiMixedTypes="0" containsString="0" containsNumber="1" containsInteger="1" minValue="5200" maxValue="9999" count="138">
        <n v="5200"/>
        <n v="5300"/>
        <n v="5400"/>
        <n v="5500"/>
        <n v="5600"/>
        <n v="5610"/>
        <n v="5650"/>
        <n v="5700"/>
        <n v="5705"/>
        <n v="5720"/>
        <n v="5725"/>
        <n v="5730"/>
        <n v="5740"/>
        <n v="5850"/>
        <n v="5855"/>
        <n v="5900"/>
        <n v="5905"/>
        <n v="5998"/>
        <n v="5999"/>
        <n v="6000"/>
        <n v="6040"/>
        <n v="6045"/>
        <n v="6050"/>
        <n v="6065"/>
        <n v="6070"/>
        <n v="6074"/>
        <n v="6080"/>
        <n v="6082"/>
        <n v="6083"/>
        <n v="6100"/>
        <n v="6200"/>
        <n v="6250"/>
        <n v="6300"/>
        <n v="6305"/>
        <n v="7100"/>
        <n v="7150"/>
        <n v="7500"/>
        <n v="7505"/>
        <n v="7515"/>
        <n v="7520"/>
        <n v="7525"/>
        <n v="7530"/>
        <n v="7531"/>
        <n v="7532"/>
        <n v="7535"/>
        <n v="7540"/>
        <n v="7550"/>
        <n v="7555"/>
        <n v="7561"/>
        <n v="7800"/>
        <n v="7805"/>
        <n v="7815"/>
        <n v="7825"/>
        <n v="7830"/>
        <n v="7831"/>
        <n v="7832"/>
        <n v="7835"/>
        <n v="7836"/>
        <n v="7840"/>
        <n v="7845"/>
        <n v="7846"/>
        <n v="7847"/>
        <n v="7850"/>
        <n v="7851"/>
        <n v="7855"/>
        <n v="7865"/>
        <n v="7870"/>
        <n v="7875"/>
        <n v="7999"/>
        <n v="8000"/>
        <n v="8015"/>
        <n v="8020"/>
        <n v="8030"/>
        <n v="8035"/>
        <n v="8045"/>
        <n v="8046"/>
        <n v="8050"/>
        <n v="8100"/>
        <n v="8110"/>
        <n v="8115"/>
        <n v="8117"/>
        <n v="8120"/>
        <n v="8125"/>
        <n v="8130"/>
        <n v="8140"/>
        <n v="8150"/>
        <n v="8200"/>
        <n v="8205"/>
        <n v="8300"/>
        <n v="8301"/>
        <n v="8302"/>
        <n v="8304"/>
        <n v="8305"/>
        <n v="8306"/>
        <n v="8307"/>
        <n v="8310"/>
        <n v="8315"/>
        <n v="8401"/>
        <n v="8405"/>
        <n v="8406"/>
        <n v="8410"/>
        <n v="8411"/>
        <n v="8415"/>
        <n v="8420"/>
        <n v="8425"/>
        <n v="8430"/>
        <n v="8500"/>
        <n v="8505"/>
        <n v="8550"/>
        <n v="8551"/>
        <n v="8600"/>
        <n v="8601"/>
        <n v="8605"/>
        <n v="8607"/>
        <n v="8610"/>
        <n v="8615"/>
        <n v="8620"/>
        <n v="8710"/>
        <n v="8715"/>
        <n v="8720"/>
        <n v="8725"/>
        <n v="8800"/>
        <n v="8805"/>
        <n v="8810"/>
        <n v="8899"/>
        <n v="8900"/>
        <n v="8905"/>
        <n v="8910"/>
        <n v="8915"/>
        <n v="8920"/>
        <n v="8925"/>
        <n v="9100"/>
        <n v="9105"/>
        <n v="9500"/>
        <n v="9987"/>
        <n v="9991"/>
        <n v="9996"/>
        <n v="9999"/>
      </sharedItems>
    </cacheField>
    <cacheField name="Cost center" numFmtId="0">
      <sharedItems containsString="0" containsBlank="1" containsNumber="1" containsInteger="1" minValue="1010" maxValue="5061" count="26">
        <n v="4070"/>
        <m/>
        <n v="1020"/>
        <n v="1030"/>
        <n v="1040"/>
        <n v="1050"/>
        <n v="1060"/>
        <n v="1070"/>
        <n v="2010"/>
        <n v="2030"/>
        <n v="2031"/>
        <n v="3010"/>
        <n v="4010"/>
        <n v="4075"/>
        <n v="4100"/>
        <n v="5010"/>
        <n v="5020"/>
        <n v="5030"/>
        <n v="5050"/>
        <n v="5060"/>
        <n v="5061"/>
        <n v="1010"/>
        <n v="1055"/>
        <n v="2020"/>
        <n v="5021"/>
        <n v="5051"/>
      </sharedItems>
    </cacheField>
    <cacheField name="Adjust" numFmtId="0">
      <sharedItems containsSemiMixedTypes="0" containsString="0" containsNumber="1" minValue="-7836991.5300000003" maxValue="8354391.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3">
  <r>
    <x v="0"/>
    <x v="0"/>
    <n v="826133.17"/>
  </r>
  <r>
    <x v="1"/>
    <x v="0"/>
    <n v="0"/>
  </r>
  <r>
    <x v="1"/>
    <x v="0"/>
    <n v="10024.08"/>
  </r>
  <r>
    <x v="2"/>
    <x v="0"/>
    <n v="4844.2"/>
  </r>
  <r>
    <x v="2"/>
    <x v="0"/>
    <n v="17.36"/>
  </r>
  <r>
    <x v="3"/>
    <x v="0"/>
    <n v="134484.35"/>
  </r>
  <r>
    <x v="3"/>
    <x v="0"/>
    <n v="-440858.39"/>
  </r>
  <r>
    <x v="4"/>
    <x v="0"/>
    <n v="71750.600000000006"/>
  </r>
  <r>
    <x v="4"/>
    <x v="0"/>
    <n v="6827.88"/>
  </r>
  <r>
    <x v="5"/>
    <x v="0"/>
    <n v="-649.34"/>
  </r>
  <r>
    <x v="6"/>
    <x v="0"/>
    <n v="-95677.86"/>
  </r>
  <r>
    <x v="6"/>
    <x v="0"/>
    <n v="-9713.4699999999993"/>
  </r>
  <r>
    <x v="7"/>
    <x v="0"/>
    <n v="12355.48"/>
  </r>
  <r>
    <x v="7"/>
    <x v="0"/>
    <n v="96697.58"/>
  </r>
  <r>
    <x v="8"/>
    <x v="0"/>
    <n v="16272"/>
  </r>
  <r>
    <x v="9"/>
    <x v="0"/>
    <n v="811603.13"/>
  </r>
  <r>
    <x v="9"/>
    <x v="0"/>
    <n v="197024.89"/>
  </r>
  <r>
    <x v="10"/>
    <x v="0"/>
    <n v="-383223.44"/>
  </r>
  <r>
    <x v="10"/>
    <x v="0"/>
    <n v="79445.399999999994"/>
  </r>
  <r>
    <x v="11"/>
    <x v="0"/>
    <n v="312565.03999999998"/>
  </r>
  <r>
    <x v="11"/>
    <x v="0"/>
    <n v="-146827.76"/>
  </r>
  <r>
    <x v="12"/>
    <x v="0"/>
    <n v="4000"/>
  </r>
  <r>
    <x v="12"/>
    <x v="0"/>
    <n v="16161.51"/>
  </r>
  <r>
    <x v="13"/>
    <x v="0"/>
    <n v="154601.84"/>
  </r>
  <r>
    <x v="13"/>
    <x v="0"/>
    <n v="348506.19"/>
  </r>
  <r>
    <x v="13"/>
    <x v="0"/>
    <n v="21983.34"/>
  </r>
  <r>
    <x v="14"/>
    <x v="0"/>
    <n v="12683.63"/>
  </r>
  <r>
    <x v="14"/>
    <x v="0"/>
    <n v="-45845.29"/>
  </r>
  <r>
    <x v="15"/>
    <x v="0"/>
    <n v="0"/>
  </r>
  <r>
    <x v="15"/>
    <x v="0"/>
    <n v="-56516.52"/>
  </r>
  <r>
    <x v="15"/>
    <x v="0"/>
    <n v="-442.91"/>
  </r>
  <r>
    <x v="16"/>
    <x v="0"/>
    <n v="0"/>
  </r>
  <r>
    <x v="16"/>
    <x v="0"/>
    <n v="-29685.19"/>
  </r>
  <r>
    <x v="16"/>
    <x v="0"/>
    <n v="-1013.29"/>
  </r>
  <r>
    <x v="17"/>
    <x v="0"/>
    <n v="669.14"/>
  </r>
  <r>
    <x v="17"/>
    <x v="0"/>
    <n v="-10279.969999999999"/>
  </r>
  <r>
    <x v="18"/>
    <x v="0"/>
    <n v="-6148698.9199999999"/>
  </r>
  <r>
    <x v="18"/>
    <x v="0"/>
    <n v="4228243.1100000003"/>
  </r>
  <r>
    <x v="18"/>
    <x v="0"/>
    <n v="-16919.3"/>
  </r>
  <r>
    <x v="19"/>
    <x v="1"/>
    <n v="0"/>
  </r>
  <r>
    <x v="19"/>
    <x v="2"/>
    <n v="496714.93"/>
  </r>
  <r>
    <x v="19"/>
    <x v="3"/>
    <n v="449287.39"/>
  </r>
  <r>
    <x v="19"/>
    <x v="4"/>
    <n v="936734.71"/>
  </r>
  <r>
    <x v="19"/>
    <x v="5"/>
    <n v="1221430.74"/>
  </r>
  <r>
    <x v="19"/>
    <x v="6"/>
    <n v="584864.19999999995"/>
  </r>
  <r>
    <x v="19"/>
    <x v="7"/>
    <n v="840829.46"/>
  </r>
  <r>
    <x v="19"/>
    <x v="8"/>
    <n v="98837.28"/>
  </r>
  <r>
    <x v="19"/>
    <x v="9"/>
    <n v="234018.8"/>
  </r>
  <r>
    <x v="19"/>
    <x v="10"/>
    <n v="191707.71"/>
  </r>
  <r>
    <x v="19"/>
    <x v="11"/>
    <n v="1093895.28"/>
  </r>
  <r>
    <x v="19"/>
    <x v="12"/>
    <n v="1157249.9099999999"/>
  </r>
  <r>
    <x v="19"/>
    <x v="0"/>
    <n v="3711482.19"/>
  </r>
  <r>
    <x v="19"/>
    <x v="13"/>
    <n v="147194.51"/>
  </r>
  <r>
    <x v="19"/>
    <x v="14"/>
    <n v="953570.13"/>
  </r>
  <r>
    <x v="19"/>
    <x v="15"/>
    <n v="106306.82"/>
  </r>
  <r>
    <x v="19"/>
    <x v="16"/>
    <n v="4290718.4800000004"/>
  </r>
  <r>
    <x v="19"/>
    <x v="17"/>
    <n v="117002.4"/>
  </r>
  <r>
    <x v="19"/>
    <x v="18"/>
    <n v="8354391.96"/>
  </r>
  <r>
    <x v="19"/>
    <x v="19"/>
    <n v="2274108.5"/>
  </r>
  <r>
    <x v="19"/>
    <x v="20"/>
    <n v="1519341.09"/>
  </r>
  <r>
    <x v="20"/>
    <x v="1"/>
    <n v="0"/>
  </r>
  <r>
    <x v="20"/>
    <x v="2"/>
    <n v="6654.83"/>
  </r>
  <r>
    <x v="20"/>
    <x v="3"/>
    <n v="11782.75"/>
  </r>
  <r>
    <x v="20"/>
    <x v="4"/>
    <n v="12609.49"/>
  </r>
  <r>
    <x v="20"/>
    <x v="5"/>
    <n v="9827.15"/>
  </r>
  <r>
    <x v="20"/>
    <x v="6"/>
    <n v="20046.560000000001"/>
  </r>
  <r>
    <x v="20"/>
    <x v="7"/>
    <n v="12025.18"/>
  </r>
  <r>
    <x v="20"/>
    <x v="8"/>
    <n v="3327.48"/>
  </r>
  <r>
    <x v="20"/>
    <x v="9"/>
    <n v="-19828.02"/>
  </r>
  <r>
    <x v="20"/>
    <x v="10"/>
    <n v="5589.15"/>
  </r>
  <r>
    <x v="20"/>
    <x v="11"/>
    <n v="6621.81"/>
  </r>
  <r>
    <x v="20"/>
    <x v="12"/>
    <n v="23325.37"/>
  </r>
  <r>
    <x v="20"/>
    <x v="0"/>
    <n v="84400.61"/>
  </r>
  <r>
    <x v="20"/>
    <x v="13"/>
    <n v="1712.85"/>
  </r>
  <r>
    <x v="20"/>
    <x v="14"/>
    <n v="25604.74"/>
  </r>
  <r>
    <x v="20"/>
    <x v="15"/>
    <n v="-9331.8799999999992"/>
  </r>
  <r>
    <x v="20"/>
    <x v="16"/>
    <n v="64725.36"/>
  </r>
  <r>
    <x v="20"/>
    <x v="17"/>
    <n v="4071.9"/>
  </r>
  <r>
    <x v="20"/>
    <x v="18"/>
    <n v="48933.13"/>
  </r>
  <r>
    <x v="20"/>
    <x v="19"/>
    <n v="29121.66"/>
  </r>
  <r>
    <x v="20"/>
    <x v="20"/>
    <n v="15921.15"/>
  </r>
  <r>
    <x v="21"/>
    <x v="1"/>
    <n v="24210.02"/>
  </r>
  <r>
    <x v="21"/>
    <x v="2"/>
    <n v="34164.400000000001"/>
  </r>
  <r>
    <x v="21"/>
    <x v="3"/>
    <n v="34862.67"/>
  </r>
  <r>
    <x v="21"/>
    <x v="4"/>
    <n v="62514.95"/>
  </r>
  <r>
    <x v="21"/>
    <x v="5"/>
    <n v="71697.61"/>
  </r>
  <r>
    <x v="21"/>
    <x v="6"/>
    <n v="46924.4"/>
  </r>
  <r>
    <x v="21"/>
    <x v="7"/>
    <n v="68437.22"/>
  </r>
  <r>
    <x v="21"/>
    <x v="8"/>
    <n v="9495.75"/>
  </r>
  <r>
    <x v="21"/>
    <x v="9"/>
    <n v="15941.77"/>
  </r>
  <r>
    <x v="21"/>
    <x v="10"/>
    <n v="15240.23"/>
  </r>
  <r>
    <x v="21"/>
    <x v="11"/>
    <n v="89760.45"/>
  </r>
  <r>
    <x v="21"/>
    <x v="12"/>
    <n v="92342.87"/>
  </r>
  <r>
    <x v="21"/>
    <x v="0"/>
    <n v="311856.07"/>
  </r>
  <r>
    <x v="21"/>
    <x v="13"/>
    <n v="13017.61"/>
  </r>
  <r>
    <x v="21"/>
    <x v="14"/>
    <n v="73595.27"/>
  </r>
  <r>
    <x v="21"/>
    <x v="15"/>
    <n v="7959.5"/>
  </r>
  <r>
    <x v="21"/>
    <x v="16"/>
    <n v="310623.32"/>
  </r>
  <r>
    <x v="21"/>
    <x v="17"/>
    <n v="9190.24"/>
  </r>
  <r>
    <x v="21"/>
    <x v="18"/>
    <n v="638242.04"/>
  </r>
  <r>
    <x v="21"/>
    <x v="19"/>
    <n v="163984.17000000001"/>
  </r>
  <r>
    <x v="21"/>
    <x v="20"/>
    <n v="95048.72"/>
  </r>
  <r>
    <x v="22"/>
    <x v="1"/>
    <n v="0"/>
  </r>
  <r>
    <x v="22"/>
    <x v="21"/>
    <n v="2590"/>
  </r>
  <r>
    <x v="23"/>
    <x v="1"/>
    <n v="0"/>
  </r>
  <r>
    <x v="23"/>
    <x v="4"/>
    <n v="2161518.83"/>
  </r>
  <r>
    <x v="24"/>
    <x v="1"/>
    <n v="0"/>
  </r>
  <r>
    <x v="24"/>
    <x v="2"/>
    <n v="165.19"/>
  </r>
  <r>
    <x v="24"/>
    <x v="4"/>
    <n v="2848232.25"/>
  </r>
  <r>
    <x v="24"/>
    <x v="7"/>
    <n v="2933.97"/>
  </r>
  <r>
    <x v="24"/>
    <x v="10"/>
    <n v="2499.83"/>
  </r>
  <r>
    <x v="24"/>
    <x v="11"/>
    <n v="248.47"/>
  </r>
  <r>
    <x v="24"/>
    <x v="12"/>
    <n v="811.69"/>
  </r>
  <r>
    <x v="24"/>
    <x v="0"/>
    <n v="17718.47"/>
  </r>
  <r>
    <x v="24"/>
    <x v="14"/>
    <n v="12.23"/>
  </r>
  <r>
    <x v="25"/>
    <x v="1"/>
    <n v="0"/>
  </r>
  <r>
    <x v="25"/>
    <x v="4"/>
    <n v="10530.37"/>
  </r>
  <r>
    <x v="26"/>
    <x v="1"/>
    <n v="0"/>
  </r>
  <r>
    <x v="26"/>
    <x v="4"/>
    <n v="1566"/>
  </r>
  <r>
    <x v="27"/>
    <x v="1"/>
    <n v="0"/>
  </r>
  <r>
    <x v="27"/>
    <x v="2"/>
    <n v="6522.95"/>
  </r>
  <r>
    <x v="27"/>
    <x v="4"/>
    <n v="62.97"/>
  </r>
  <r>
    <x v="28"/>
    <x v="1"/>
    <n v="0"/>
  </r>
  <r>
    <x v="28"/>
    <x v="2"/>
    <n v="4954.88"/>
  </r>
  <r>
    <x v="29"/>
    <x v="1"/>
    <n v="0"/>
  </r>
  <r>
    <x v="29"/>
    <x v="0"/>
    <n v="78.27"/>
  </r>
  <r>
    <x v="30"/>
    <x v="1"/>
    <n v="-27.6"/>
  </r>
  <r>
    <x v="30"/>
    <x v="21"/>
    <n v="-8065.09"/>
  </r>
  <r>
    <x v="30"/>
    <x v="2"/>
    <n v="822912.67"/>
  </r>
  <r>
    <x v="30"/>
    <x v="3"/>
    <n v="1720"/>
  </r>
  <r>
    <x v="30"/>
    <x v="4"/>
    <n v="14130.5"/>
  </r>
  <r>
    <x v="30"/>
    <x v="5"/>
    <n v="22089.3"/>
  </r>
  <r>
    <x v="30"/>
    <x v="22"/>
    <n v="11500"/>
  </r>
  <r>
    <x v="30"/>
    <x v="6"/>
    <n v="54748"/>
  </r>
  <r>
    <x v="30"/>
    <x v="7"/>
    <n v="694421.57"/>
  </r>
  <r>
    <x v="30"/>
    <x v="23"/>
    <n v="1414549.5"/>
  </r>
  <r>
    <x v="30"/>
    <x v="11"/>
    <n v="50682"/>
  </r>
  <r>
    <x v="30"/>
    <x v="12"/>
    <n v="7158.05"/>
  </r>
  <r>
    <x v="30"/>
    <x v="0"/>
    <n v="79533"/>
  </r>
  <r>
    <x v="30"/>
    <x v="14"/>
    <n v="2560"/>
  </r>
  <r>
    <x v="30"/>
    <x v="16"/>
    <n v="233226.11"/>
  </r>
  <r>
    <x v="30"/>
    <x v="19"/>
    <n v="1789073.5"/>
  </r>
  <r>
    <x v="31"/>
    <x v="1"/>
    <n v="0"/>
  </r>
  <r>
    <x v="31"/>
    <x v="2"/>
    <n v="1050000"/>
  </r>
  <r>
    <x v="32"/>
    <x v="1"/>
    <n v="0"/>
  </r>
  <r>
    <x v="32"/>
    <x v="3"/>
    <n v="34585.72"/>
  </r>
  <r>
    <x v="32"/>
    <x v="4"/>
    <n v="105921.85"/>
  </r>
  <r>
    <x v="32"/>
    <x v="10"/>
    <n v="3200"/>
  </r>
  <r>
    <x v="32"/>
    <x v="11"/>
    <n v="112"/>
  </r>
  <r>
    <x v="32"/>
    <x v="0"/>
    <n v="43694.76"/>
  </r>
  <r>
    <x v="32"/>
    <x v="14"/>
    <n v="-2492.63"/>
  </r>
  <r>
    <x v="33"/>
    <x v="1"/>
    <n v="0"/>
  </r>
  <r>
    <x v="33"/>
    <x v="14"/>
    <n v="-3137.38"/>
  </r>
  <r>
    <x v="34"/>
    <x v="1"/>
    <n v="0"/>
  </r>
  <r>
    <x v="34"/>
    <x v="21"/>
    <n v="6039.96"/>
  </r>
  <r>
    <x v="34"/>
    <x v="2"/>
    <n v="1470.16"/>
  </r>
  <r>
    <x v="34"/>
    <x v="4"/>
    <n v="3444.96"/>
  </r>
  <r>
    <x v="34"/>
    <x v="6"/>
    <n v="307424.75"/>
  </r>
  <r>
    <x v="34"/>
    <x v="7"/>
    <n v="2016908.69"/>
  </r>
  <r>
    <x v="34"/>
    <x v="10"/>
    <n v="15595.52"/>
  </r>
  <r>
    <x v="34"/>
    <x v="11"/>
    <n v="279005.15000000002"/>
  </r>
  <r>
    <x v="34"/>
    <x v="12"/>
    <n v="11490.68"/>
  </r>
  <r>
    <x v="34"/>
    <x v="0"/>
    <n v="1426762.67"/>
  </r>
  <r>
    <x v="34"/>
    <x v="13"/>
    <n v="53581.86"/>
  </r>
  <r>
    <x v="34"/>
    <x v="16"/>
    <n v="471639.76"/>
  </r>
  <r>
    <x v="34"/>
    <x v="24"/>
    <n v="48189.22"/>
  </r>
  <r>
    <x v="34"/>
    <x v="17"/>
    <n v="75436.009999999995"/>
  </r>
  <r>
    <x v="34"/>
    <x v="18"/>
    <n v="345282.49"/>
  </r>
  <r>
    <x v="34"/>
    <x v="25"/>
    <n v="502641.24"/>
  </r>
  <r>
    <x v="34"/>
    <x v="20"/>
    <n v="8001.24"/>
  </r>
  <r>
    <x v="35"/>
    <x v="1"/>
    <n v="0"/>
  </r>
  <r>
    <x v="35"/>
    <x v="6"/>
    <n v="7424.17"/>
  </r>
  <r>
    <x v="35"/>
    <x v="7"/>
    <n v="823344.84"/>
  </r>
  <r>
    <x v="35"/>
    <x v="18"/>
    <n v="3750.22"/>
  </r>
  <r>
    <x v="35"/>
    <x v="25"/>
    <n v="14127.5"/>
  </r>
  <r>
    <x v="36"/>
    <x v="1"/>
    <n v="0"/>
  </r>
  <r>
    <x v="36"/>
    <x v="2"/>
    <n v="3643.55"/>
  </r>
  <r>
    <x v="36"/>
    <x v="5"/>
    <n v="951.07"/>
  </r>
  <r>
    <x v="36"/>
    <x v="6"/>
    <n v="-0.06"/>
  </r>
  <r>
    <x v="36"/>
    <x v="7"/>
    <n v="236559.87"/>
  </r>
  <r>
    <x v="36"/>
    <x v="10"/>
    <n v="3971.78"/>
  </r>
  <r>
    <x v="36"/>
    <x v="11"/>
    <n v="12240.07"/>
  </r>
  <r>
    <x v="36"/>
    <x v="12"/>
    <n v="2218.08"/>
  </r>
  <r>
    <x v="36"/>
    <x v="0"/>
    <n v="2661.55"/>
  </r>
  <r>
    <x v="36"/>
    <x v="14"/>
    <n v="12347.19"/>
  </r>
  <r>
    <x v="36"/>
    <x v="16"/>
    <n v="11288.49"/>
  </r>
  <r>
    <x v="37"/>
    <x v="1"/>
    <n v="0"/>
  </r>
  <r>
    <x v="37"/>
    <x v="7"/>
    <n v="1252135.54"/>
  </r>
  <r>
    <x v="37"/>
    <x v="10"/>
    <n v="141627.69"/>
  </r>
  <r>
    <x v="37"/>
    <x v="11"/>
    <n v="216000"/>
  </r>
  <r>
    <x v="37"/>
    <x v="0"/>
    <n v="1298273.98"/>
  </r>
  <r>
    <x v="38"/>
    <x v="1"/>
    <n v="0"/>
  </r>
  <r>
    <x v="38"/>
    <x v="7"/>
    <n v="7074.9"/>
  </r>
  <r>
    <x v="38"/>
    <x v="11"/>
    <n v="76722.89"/>
  </r>
  <r>
    <x v="38"/>
    <x v="0"/>
    <n v="567018.75"/>
  </r>
  <r>
    <x v="39"/>
    <x v="1"/>
    <n v="0"/>
  </r>
  <r>
    <x v="39"/>
    <x v="7"/>
    <n v="88600.12"/>
  </r>
  <r>
    <x v="39"/>
    <x v="11"/>
    <n v="2861"/>
  </r>
  <r>
    <x v="39"/>
    <x v="0"/>
    <n v="36902"/>
  </r>
  <r>
    <x v="40"/>
    <x v="1"/>
    <n v="0"/>
  </r>
  <r>
    <x v="40"/>
    <x v="7"/>
    <n v="23806.78"/>
  </r>
  <r>
    <x v="40"/>
    <x v="10"/>
    <n v="2392.17"/>
  </r>
  <r>
    <x v="40"/>
    <x v="11"/>
    <n v="3848"/>
  </r>
  <r>
    <x v="40"/>
    <x v="0"/>
    <n v="2905.8"/>
  </r>
  <r>
    <x v="41"/>
    <x v="1"/>
    <n v="0"/>
  </r>
  <r>
    <x v="41"/>
    <x v="7"/>
    <n v="1253287.67"/>
  </r>
  <r>
    <x v="41"/>
    <x v="10"/>
    <n v="2955.34"/>
  </r>
  <r>
    <x v="41"/>
    <x v="11"/>
    <n v="23070.35"/>
  </r>
  <r>
    <x v="41"/>
    <x v="12"/>
    <n v="6504.12"/>
  </r>
  <r>
    <x v="41"/>
    <x v="0"/>
    <n v="1619043.71"/>
  </r>
  <r>
    <x v="41"/>
    <x v="16"/>
    <n v="240"/>
  </r>
  <r>
    <x v="42"/>
    <x v="1"/>
    <n v="-172.82"/>
  </r>
  <r>
    <x v="42"/>
    <x v="6"/>
    <n v="9758.86"/>
  </r>
  <r>
    <x v="42"/>
    <x v="7"/>
    <n v="23749.42"/>
  </r>
  <r>
    <x v="42"/>
    <x v="10"/>
    <n v="4514.17"/>
  </r>
  <r>
    <x v="42"/>
    <x v="11"/>
    <n v="5597.44"/>
  </r>
  <r>
    <x v="42"/>
    <x v="12"/>
    <n v="7777.84"/>
  </r>
  <r>
    <x v="42"/>
    <x v="0"/>
    <n v="11040.67"/>
  </r>
  <r>
    <x v="42"/>
    <x v="14"/>
    <n v="1395"/>
  </r>
  <r>
    <x v="42"/>
    <x v="18"/>
    <n v="500.59"/>
  </r>
  <r>
    <x v="43"/>
    <x v="1"/>
    <n v="0"/>
  </r>
  <r>
    <x v="43"/>
    <x v="16"/>
    <n v="-9.76"/>
  </r>
  <r>
    <x v="44"/>
    <x v="1"/>
    <n v="0"/>
  </r>
  <r>
    <x v="44"/>
    <x v="7"/>
    <n v="45038.720000000001"/>
  </r>
  <r>
    <x v="44"/>
    <x v="10"/>
    <n v="550"/>
  </r>
  <r>
    <x v="44"/>
    <x v="11"/>
    <n v="401"/>
  </r>
  <r>
    <x v="44"/>
    <x v="0"/>
    <n v="2589"/>
  </r>
  <r>
    <x v="44"/>
    <x v="25"/>
    <n v="38"/>
  </r>
  <r>
    <x v="45"/>
    <x v="1"/>
    <n v="0"/>
  </r>
  <r>
    <x v="45"/>
    <x v="6"/>
    <n v="1944.7"/>
  </r>
  <r>
    <x v="45"/>
    <x v="7"/>
    <n v="44752.5"/>
  </r>
  <r>
    <x v="45"/>
    <x v="10"/>
    <n v="11.96"/>
  </r>
  <r>
    <x v="45"/>
    <x v="11"/>
    <n v="27764.12"/>
  </r>
  <r>
    <x v="45"/>
    <x v="0"/>
    <n v="39049.360000000001"/>
  </r>
  <r>
    <x v="45"/>
    <x v="14"/>
    <n v="18.23"/>
  </r>
  <r>
    <x v="45"/>
    <x v="19"/>
    <n v="1710.77"/>
  </r>
  <r>
    <x v="46"/>
    <x v="1"/>
    <n v="0"/>
  </r>
  <r>
    <x v="46"/>
    <x v="7"/>
    <n v="139884.10999999999"/>
  </r>
  <r>
    <x v="46"/>
    <x v="11"/>
    <n v="2163.1799999999998"/>
  </r>
  <r>
    <x v="46"/>
    <x v="0"/>
    <n v="55496.99"/>
  </r>
  <r>
    <x v="47"/>
    <x v="1"/>
    <n v="0"/>
  </r>
  <r>
    <x v="47"/>
    <x v="7"/>
    <n v="12030.83"/>
  </r>
  <r>
    <x v="47"/>
    <x v="11"/>
    <n v="7219.14"/>
  </r>
  <r>
    <x v="47"/>
    <x v="12"/>
    <n v="4390.75"/>
  </r>
  <r>
    <x v="47"/>
    <x v="0"/>
    <n v="12989.59"/>
  </r>
  <r>
    <x v="47"/>
    <x v="14"/>
    <n v="1522.5"/>
  </r>
  <r>
    <x v="47"/>
    <x v="18"/>
    <n v="13860"/>
  </r>
  <r>
    <x v="48"/>
    <x v="1"/>
    <n v="0"/>
  </r>
  <r>
    <x v="48"/>
    <x v="7"/>
    <n v="11176.26"/>
  </r>
  <r>
    <x v="48"/>
    <x v="10"/>
    <n v="421.51"/>
  </r>
  <r>
    <x v="48"/>
    <x v="11"/>
    <n v="11088.13"/>
  </r>
  <r>
    <x v="48"/>
    <x v="0"/>
    <n v="15098.38"/>
  </r>
  <r>
    <x v="49"/>
    <x v="1"/>
    <n v="-306.02"/>
  </r>
  <r>
    <x v="49"/>
    <x v="11"/>
    <n v="38226.620000000003"/>
  </r>
  <r>
    <x v="49"/>
    <x v="12"/>
    <n v="143504.23000000001"/>
  </r>
  <r>
    <x v="49"/>
    <x v="0"/>
    <n v="10527.66"/>
  </r>
  <r>
    <x v="49"/>
    <x v="14"/>
    <n v="8978.7199999999993"/>
  </r>
  <r>
    <x v="49"/>
    <x v="16"/>
    <n v="919020.64"/>
  </r>
  <r>
    <x v="49"/>
    <x v="17"/>
    <n v="30954.1"/>
  </r>
  <r>
    <x v="49"/>
    <x v="18"/>
    <n v="667383.11"/>
  </r>
  <r>
    <x v="49"/>
    <x v="25"/>
    <n v="2384978.46"/>
  </r>
  <r>
    <x v="49"/>
    <x v="19"/>
    <n v="14204.57"/>
  </r>
  <r>
    <x v="50"/>
    <x v="1"/>
    <n v="0"/>
  </r>
  <r>
    <x v="50"/>
    <x v="11"/>
    <n v="300.13"/>
  </r>
  <r>
    <x v="50"/>
    <x v="16"/>
    <n v="54.26"/>
  </r>
  <r>
    <x v="51"/>
    <x v="1"/>
    <n v="0"/>
  </r>
  <r>
    <x v="51"/>
    <x v="11"/>
    <n v="219.85"/>
  </r>
  <r>
    <x v="51"/>
    <x v="14"/>
    <n v="13.12"/>
  </r>
  <r>
    <x v="52"/>
    <x v="1"/>
    <n v="245.84"/>
  </r>
  <r>
    <x v="52"/>
    <x v="7"/>
    <n v="538.58000000000004"/>
  </r>
  <r>
    <x v="52"/>
    <x v="10"/>
    <n v="1731.48"/>
  </r>
  <r>
    <x v="52"/>
    <x v="11"/>
    <n v="1334.37"/>
  </r>
  <r>
    <x v="52"/>
    <x v="12"/>
    <n v="3445.14"/>
  </r>
  <r>
    <x v="52"/>
    <x v="0"/>
    <n v="27575.360000000001"/>
  </r>
  <r>
    <x v="52"/>
    <x v="16"/>
    <n v="1108121.8899999999"/>
  </r>
  <r>
    <x v="52"/>
    <x v="18"/>
    <n v="45234.18"/>
  </r>
  <r>
    <x v="52"/>
    <x v="25"/>
    <n v="567.89"/>
  </r>
  <r>
    <x v="52"/>
    <x v="19"/>
    <n v="60.25"/>
  </r>
  <r>
    <x v="53"/>
    <x v="1"/>
    <n v="0"/>
  </r>
  <r>
    <x v="53"/>
    <x v="16"/>
    <n v="60300.4"/>
  </r>
  <r>
    <x v="53"/>
    <x v="19"/>
    <n v="6496.4"/>
  </r>
  <r>
    <x v="54"/>
    <x v="1"/>
    <n v="0"/>
  </r>
  <r>
    <x v="54"/>
    <x v="11"/>
    <n v="-114.37"/>
  </r>
  <r>
    <x v="55"/>
    <x v="1"/>
    <n v="0"/>
  </r>
  <r>
    <x v="55"/>
    <x v="0"/>
    <n v="-41.91"/>
  </r>
  <r>
    <x v="55"/>
    <x v="13"/>
    <n v="130.5"/>
  </r>
  <r>
    <x v="55"/>
    <x v="16"/>
    <n v="30259.33"/>
  </r>
  <r>
    <x v="56"/>
    <x v="1"/>
    <n v="0"/>
  </r>
  <r>
    <x v="56"/>
    <x v="6"/>
    <n v="2277.69"/>
  </r>
  <r>
    <x v="56"/>
    <x v="12"/>
    <n v="152.32"/>
  </r>
  <r>
    <x v="56"/>
    <x v="13"/>
    <n v="8612.19"/>
  </r>
  <r>
    <x v="56"/>
    <x v="16"/>
    <n v="293.38"/>
  </r>
  <r>
    <x v="56"/>
    <x v="17"/>
    <n v="7990.29"/>
  </r>
  <r>
    <x v="57"/>
    <x v="1"/>
    <n v="0"/>
  </r>
  <r>
    <x v="57"/>
    <x v="25"/>
    <n v="311.64999999999998"/>
  </r>
  <r>
    <x v="58"/>
    <x v="1"/>
    <n v="0"/>
  </r>
  <r>
    <x v="58"/>
    <x v="11"/>
    <n v="693972.78"/>
  </r>
  <r>
    <x v="58"/>
    <x v="12"/>
    <n v="54644.88"/>
  </r>
  <r>
    <x v="58"/>
    <x v="0"/>
    <n v="14.67"/>
  </r>
  <r>
    <x v="58"/>
    <x v="16"/>
    <n v="2785.17"/>
  </r>
  <r>
    <x v="58"/>
    <x v="18"/>
    <n v="234277.3"/>
  </r>
  <r>
    <x v="58"/>
    <x v="25"/>
    <n v="582244.6"/>
  </r>
  <r>
    <x v="59"/>
    <x v="1"/>
    <n v="0"/>
  </r>
  <r>
    <x v="59"/>
    <x v="12"/>
    <n v="46981.66"/>
  </r>
  <r>
    <x v="59"/>
    <x v="18"/>
    <n v="152564.01999999999"/>
  </r>
  <r>
    <x v="59"/>
    <x v="25"/>
    <n v="59436.38"/>
  </r>
  <r>
    <x v="60"/>
    <x v="1"/>
    <n v="0"/>
  </r>
  <r>
    <x v="60"/>
    <x v="10"/>
    <n v="38.049999999999997"/>
  </r>
  <r>
    <x v="60"/>
    <x v="11"/>
    <n v="25298.78"/>
  </r>
  <r>
    <x v="60"/>
    <x v="12"/>
    <n v="13981.84"/>
  </r>
  <r>
    <x v="60"/>
    <x v="14"/>
    <n v="6343.79"/>
  </r>
  <r>
    <x v="60"/>
    <x v="15"/>
    <n v="50"/>
  </r>
  <r>
    <x v="60"/>
    <x v="16"/>
    <n v="606.24"/>
  </r>
  <r>
    <x v="60"/>
    <x v="24"/>
    <n v="600.6"/>
  </r>
  <r>
    <x v="60"/>
    <x v="18"/>
    <n v="251054.93"/>
  </r>
  <r>
    <x v="60"/>
    <x v="25"/>
    <n v="304278.09000000003"/>
  </r>
  <r>
    <x v="61"/>
    <x v="1"/>
    <n v="0"/>
  </r>
  <r>
    <x v="61"/>
    <x v="12"/>
    <n v="2981.14"/>
  </r>
  <r>
    <x v="61"/>
    <x v="18"/>
    <n v="17305.37"/>
  </r>
  <r>
    <x v="61"/>
    <x v="25"/>
    <n v="5523.45"/>
  </r>
  <r>
    <x v="62"/>
    <x v="1"/>
    <n v="0"/>
  </r>
  <r>
    <x v="62"/>
    <x v="16"/>
    <n v="1944.97"/>
  </r>
  <r>
    <x v="62"/>
    <x v="25"/>
    <n v="519.83000000000004"/>
  </r>
  <r>
    <x v="63"/>
    <x v="1"/>
    <n v="0"/>
  </r>
  <r>
    <x v="63"/>
    <x v="11"/>
    <n v="192.54"/>
  </r>
  <r>
    <x v="63"/>
    <x v="18"/>
    <n v="1955.98"/>
  </r>
  <r>
    <x v="63"/>
    <x v="25"/>
    <n v="2108.42"/>
  </r>
  <r>
    <x v="64"/>
    <x v="1"/>
    <n v="0"/>
  </r>
  <r>
    <x v="64"/>
    <x v="16"/>
    <n v="601"/>
  </r>
  <r>
    <x v="65"/>
    <x v="1"/>
    <n v="0"/>
  </r>
  <r>
    <x v="65"/>
    <x v="6"/>
    <n v="49.9"/>
  </r>
  <r>
    <x v="65"/>
    <x v="14"/>
    <n v="1505.9"/>
  </r>
  <r>
    <x v="65"/>
    <x v="19"/>
    <n v="652.5"/>
  </r>
  <r>
    <x v="66"/>
    <x v="1"/>
    <n v="81.39"/>
  </r>
  <r>
    <x v="66"/>
    <x v="7"/>
    <n v="676.55"/>
  </r>
  <r>
    <x v="66"/>
    <x v="10"/>
    <n v="-2595.1999999999998"/>
  </r>
  <r>
    <x v="66"/>
    <x v="11"/>
    <n v="26342.15"/>
  </r>
  <r>
    <x v="66"/>
    <x v="12"/>
    <n v="168.05"/>
  </r>
  <r>
    <x v="66"/>
    <x v="0"/>
    <n v="1026.3599999999999"/>
  </r>
  <r>
    <x v="66"/>
    <x v="14"/>
    <n v="402.84"/>
  </r>
  <r>
    <x v="66"/>
    <x v="15"/>
    <n v="362.26"/>
  </r>
  <r>
    <x v="66"/>
    <x v="16"/>
    <n v="223582.27"/>
  </r>
  <r>
    <x v="66"/>
    <x v="17"/>
    <n v="996.91"/>
  </r>
  <r>
    <x v="66"/>
    <x v="18"/>
    <n v="212470.96"/>
  </r>
  <r>
    <x v="66"/>
    <x v="25"/>
    <n v="45689.15"/>
  </r>
  <r>
    <x v="66"/>
    <x v="19"/>
    <n v="481.4"/>
  </r>
  <r>
    <x v="67"/>
    <x v="1"/>
    <n v="726.32"/>
  </r>
  <r>
    <x v="67"/>
    <x v="3"/>
    <n v="609.49"/>
  </r>
  <r>
    <x v="67"/>
    <x v="4"/>
    <n v="740.83"/>
  </r>
  <r>
    <x v="67"/>
    <x v="6"/>
    <n v="306.97000000000003"/>
  </r>
  <r>
    <x v="67"/>
    <x v="7"/>
    <n v="2524.1799999999998"/>
  </r>
  <r>
    <x v="67"/>
    <x v="10"/>
    <n v="3331.73"/>
  </r>
  <r>
    <x v="67"/>
    <x v="11"/>
    <n v="7549.11"/>
  </r>
  <r>
    <x v="67"/>
    <x v="12"/>
    <n v="5244.71"/>
  </r>
  <r>
    <x v="67"/>
    <x v="0"/>
    <n v="9980.2999999999993"/>
  </r>
  <r>
    <x v="67"/>
    <x v="13"/>
    <n v="8.1"/>
  </r>
  <r>
    <x v="67"/>
    <x v="14"/>
    <n v="639.47"/>
  </r>
  <r>
    <x v="67"/>
    <x v="15"/>
    <n v="4.5"/>
  </r>
  <r>
    <x v="67"/>
    <x v="16"/>
    <n v="15426.74"/>
  </r>
  <r>
    <x v="67"/>
    <x v="24"/>
    <n v="40"/>
  </r>
  <r>
    <x v="67"/>
    <x v="17"/>
    <n v="91.22"/>
  </r>
  <r>
    <x v="67"/>
    <x v="18"/>
    <n v="25012.39"/>
  </r>
  <r>
    <x v="67"/>
    <x v="25"/>
    <n v="73252.820000000007"/>
  </r>
  <r>
    <x v="67"/>
    <x v="19"/>
    <n v="114.29"/>
  </r>
  <r>
    <x v="67"/>
    <x v="20"/>
    <n v="26.68"/>
  </r>
  <r>
    <x v="68"/>
    <x v="1"/>
    <n v="-11548.01"/>
  </r>
  <r>
    <x v="68"/>
    <x v="0"/>
    <n v="-645.47"/>
  </r>
  <r>
    <x v="68"/>
    <x v="16"/>
    <n v="1423251.49"/>
  </r>
  <r>
    <x v="68"/>
    <x v="17"/>
    <n v="20.420000000000002"/>
  </r>
  <r>
    <x v="68"/>
    <x v="18"/>
    <n v="5.51"/>
  </r>
  <r>
    <x v="69"/>
    <x v="1"/>
    <n v="0"/>
  </r>
  <r>
    <x v="69"/>
    <x v="2"/>
    <n v="5470"/>
  </r>
  <r>
    <x v="69"/>
    <x v="4"/>
    <n v="828"/>
  </r>
  <r>
    <x v="69"/>
    <x v="6"/>
    <n v="574.98"/>
  </r>
  <r>
    <x v="69"/>
    <x v="0"/>
    <n v="1200"/>
  </r>
  <r>
    <x v="69"/>
    <x v="14"/>
    <n v="475.9"/>
  </r>
  <r>
    <x v="69"/>
    <x v="16"/>
    <n v="12277.68"/>
  </r>
  <r>
    <x v="69"/>
    <x v="19"/>
    <n v="7715.66"/>
  </r>
  <r>
    <x v="69"/>
    <x v="20"/>
    <n v="908.25"/>
  </r>
  <r>
    <x v="70"/>
    <x v="1"/>
    <n v="0"/>
  </r>
  <r>
    <x v="70"/>
    <x v="8"/>
    <n v="6565813.8700000001"/>
  </r>
  <r>
    <x v="70"/>
    <x v="16"/>
    <n v="193.46"/>
  </r>
  <r>
    <x v="70"/>
    <x v="25"/>
    <n v="444.2"/>
  </r>
  <r>
    <x v="70"/>
    <x v="19"/>
    <n v="41.33"/>
  </r>
  <r>
    <x v="71"/>
    <x v="1"/>
    <n v="0"/>
  </r>
  <r>
    <x v="71"/>
    <x v="6"/>
    <n v="2092.6"/>
  </r>
  <r>
    <x v="72"/>
    <x v="1"/>
    <n v="0"/>
  </r>
  <r>
    <x v="72"/>
    <x v="16"/>
    <n v="215.33"/>
  </r>
  <r>
    <x v="73"/>
    <x v="1"/>
    <n v="0"/>
  </r>
  <r>
    <x v="73"/>
    <x v="5"/>
    <n v="229"/>
  </r>
  <r>
    <x v="74"/>
    <x v="1"/>
    <n v="0"/>
  </r>
  <r>
    <x v="74"/>
    <x v="7"/>
    <n v="271.88"/>
  </r>
  <r>
    <x v="74"/>
    <x v="14"/>
    <n v="1614.36"/>
  </r>
  <r>
    <x v="75"/>
    <x v="1"/>
    <n v="0"/>
  </r>
  <r>
    <x v="75"/>
    <x v="10"/>
    <n v="187444.71"/>
  </r>
  <r>
    <x v="75"/>
    <x v="11"/>
    <n v="469.3"/>
  </r>
  <r>
    <x v="75"/>
    <x v="18"/>
    <n v="128970"/>
  </r>
  <r>
    <x v="76"/>
    <x v="1"/>
    <n v="0"/>
  </r>
  <r>
    <x v="76"/>
    <x v="2"/>
    <n v="767461.88"/>
  </r>
  <r>
    <x v="76"/>
    <x v="16"/>
    <n v="65.180000000000007"/>
  </r>
  <r>
    <x v="77"/>
    <x v="1"/>
    <n v="0"/>
  </r>
  <r>
    <x v="77"/>
    <x v="21"/>
    <n v="2453.66"/>
  </r>
  <r>
    <x v="77"/>
    <x v="3"/>
    <n v="18125"/>
  </r>
  <r>
    <x v="78"/>
    <x v="1"/>
    <n v="0"/>
  </r>
  <r>
    <x v="78"/>
    <x v="3"/>
    <n v="21000"/>
  </r>
  <r>
    <x v="79"/>
    <x v="1"/>
    <n v="0"/>
  </r>
  <r>
    <x v="79"/>
    <x v="21"/>
    <n v="710.3"/>
  </r>
  <r>
    <x v="79"/>
    <x v="5"/>
    <n v="628971.19999999995"/>
  </r>
  <r>
    <x v="79"/>
    <x v="7"/>
    <n v="21395"/>
  </r>
  <r>
    <x v="80"/>
    <x v="1"/>
    <n v="0"/>
  </r>
  <r>
    <x v="80"/>
    <x v="5"/>
    <n v="7079.2"/>
  </r>
  <r>
    <x v="81"/>
    <x v="1"/>
    <n v="0"/>
  </r>
  <r>
    <x v="81"/>
    <x v="2"/>
    <n v="81842.06"/>
  </r>
  <r>
    <x v="81"/>
    <x v="5"/>
    <n v="6115177.2400000002"/>
  </r>
  <r>
    <x v="82"/>
    <x v="1"/>
    <n v="0"/>
  </r>
  <r>
    <x v="82"/>
    <x v="5"/>
    <n v="1286896.1200000001"/>
  </r>
  <r>
    <x v="83"/>
    <x v="1"/>
    <n v="0"/>
  </r>
  <r>
    <x v="83"/>
    <x v="5"/>
    <n v="609701.74"/>
  </r>
  <r>
    <x v="84"/>
    <x v="1"/>
    <n v="0"/>
  </r>
  <r>
    <x v="84"/>
    <x v="5"/>
    <n v="16775.13"/>
  </r>
  <r>
    <x v="85"/>
    <x v="1"/>
    <n v="0"/>
  </r>
  <r>
    <x v="85"/>
    <x v="2"/>
    <n v="22812.21"/>
  </r>
  <r>
    <x v="85"/>
    <x v="4"/>
    <n v="3025.63"/>
  </r>
  <r>
    <x v="85"/>
    <x v="12"/>
    <n v="392.34"/>
  </r>
  <r>
    <x v="85"/>
    <x v="14"/>
    <n v="682.04"/>
  </r>
  <r>
    <x v="86"/>
    <x v="1"/>
    <n v="0"/>
  </r>
  <r>
    <x v="86"/>
    <x v="21"/>
    <n v="229031.96"/>
  </r>
  <r>
    <x v="86"/>
    <x v="2"/>
    <n v="1100"/>
  </r>
  <r>
    <x v="87"/>
    <x v="1"/>
    <n v="0"/>
  </r>
  <r>
    <x v="87"/>
    <x v="21"/>
    <n v="72411.11"/>
  </r>
  <r>
    <x v="88"/>
    <x v="1"/>
    <n v="0"/>
  </r>
  <r>
    <x v="88"/>
    <x v="6"/>
    <n v="2795.98"/>
  </r>
  <r>
    <x v="88"/>
    <x v="7"/>
    <n v="7178.98"/>
  </r>
  <r>
    <x v="88"/>
    <x v="10"/>
    <n v="1305.25"/>
  </r>
  <r>
    <x v="88"/>
    <x v="11"/>
    <n v="12416.48"/>
  </r>
  <r>
    <x v="88"/>
    <x v="0"/>
    <n v="31118.67"/>
  </r>
  <r>
    <x v="88"/>
    <x v="16"/>
    <n v="73765.53"/>
  </r>
  <r>
    <x v="88"/>
    <x v="17"/>
    <n v="3452.82"/>
  </r>
  <r>
    <x v="88"/>
    <x v="18"/>
    <n v="20521.830000000002"/>
  </r>
  <r>
    <x v="88"/>
    <x v="25"/>
    <n v="42140.1"/>
  </r>
  <r>
    <x v="89"/>
    <x v="1"/>
    <n v="0"/>
  </r>
  <r>
    <x v="89"/>
    <x v="21"/>
    <n v="11134.52"/>
  </r>
  <r>
    <x v="89"/>
    <x v="2"/>
    <n v="313"/>
  </r>
  <r>
    <x v="89"/>
    <x v="3"/>
    <n v="2931.66"/>
  </r>
  <r>
    <x v="89"/>
    <x v="5"/>
    <n v="686.31"/>
  </r>
  <r>
    <x v="89"/>
    <x v="7"/>
    <n v="23684.43"/>
  </r>
  <r>
    <x v="89"/>
    <x v="10"/>
    <n v="16437.87"/>
  </r>
  <r>
    <x v="89"/>
    <x v="11"/>
    <n v="16484.189999999999"/>
  </r>
  <r>
    <x v="89"/>
    <x v="12"/>
    <n v="2892.75"/>
  </r>
  <r>
    <x v="89"/>
    <x v="0"/>
    <n v="33441.47"/>
  </r>
  <r>
    <x v="89"/>
    <x v="14"/>
    <n v="543.13"/>
  </r>
  <r>
    <x v="89"/>
    <x v="16"/>
    <n v="16219.65"/>
  </r>
  <r>
    <x v="89"/>
    <x v="17"/>
    <n v="977.43"/>
  </r>
  <r>
    <x v="89"/>
    <x v="18"/>
    <n v="1969.8"/>
  </r>
  <r>
    <x v="89"/>
    <x v="25"/>
    <n v="2732.92"/>
  </r>
  <r>
    <x v="89"/>
    <x v="19"/>
    <n v="831.95"/>
  </r>
  <r>
    <x v="90"/>
    <x v="1"/>
    <n v="0"/>
  </r>
  <r>
    <x v="90"/>
    <x v="12"/>
    <n v="26105.439999999999"/>
  </r>
  <r>
    <x v="90"/>
    <x v="0"/>
    <n v="16039.36"/>
  </r>
  <r>
    <x v="90"/>
    <x v="16"/>
    <n v="233308.44"/>
  </r>
  <r>
    <x v="90"/>
    <x v="17"/>
    <n v="5516.35"/>
  </r>
  <r>
    <x v="91"/>
    <x v="1"/>
    <n v="0"/>
  </r>
  <r>
    <x v="91"/>
    <x v="10"/>
    <n v="6912.06"/>
  </r>
  <r>
    <x v="91"/>
    <x v="14"/>
    <n v="4241.25"/>
  </r>
  <r>
    <x v="92"/>
    <x v="1"/>
    <n v="0"/>
  </r>
  <r>
    <x v="92"/>
    <x v="2"/>
    <n v="1130.5999999999999"/>
  </r>
  <r>
    <x v="92"/>
    <x v="3"/>
    <n v="29.67"/>
  </r>
  <r>
    <x v="92"/>
    <x v="6"/>
    <n v="304037.21999999997"/>
  </r>
  <r>
    <x v="92"/>
    <x v="7"/>
    <n v="700.22"/>
  </r>
  <r>
    <x v="92"/>
    <x v="8"/>
    <n v="272.95"/>
  </r>
  <r>
    <x v="92"/>
    <x v="10"/>
    <n v="44565.43"/>
  </r>
  <r>
    <x v="92"/>
    <x v="11"/>
    <n v="4444.08"/>
  </r>
  <r>
    <x v="92"/>
    <x v="12"/>
    <n v="1053.3599999999999"/>
  </r>
  <r>
    <x v="92"/>
    <x v="0"/>
    <n v="28131.34"/>
  </r>
  <r>
    <x v="92"/>
    <x v="14"/>
    <n v="5085.3599999999997"/>
  </r>
  <r>
    <x v="92"/>
    <x v="16"/>
    <n v="1817.08"/>
  </r>
  <r>
    <x v="92"/>
    <x v="18"/>
    <n v="540.27"/>
  </r>
  <r>
    <x v="92"/>
    <x v="25"/>
    <n v="1966.82"/>
  </r>
  <r>
    <x v="92"/>
    <x v="19"/>
    <n v="2122.5"/>
  </r>
  <r>
    <x v="93"/>
    <x v="1"/>
    <n v="0"/>
  </r>
  <r>
    <x v="93"/>
    <x v="6"/>
    <n v="62017.13"/>
  </r>
  <r>
    <x v="94"/>
    <x v="1"/>
    <n v="0"/>
  </r>
  <r>
    <x v="94"/>
    <x v="3"/>
    <n v="-26.87"/>
  </r>
  <r>
    <x v="94"/>
    <x v="6"/>
    <n v="3273.5"/>
  </r>
  <r>
    <x v="94"/>
    <x v="10"/>
    <n v="14939.18"/>
  </r>
  <r>
    <x v="94"/>
    <x v="0"/>
    <n v="7775.22"/>
  </r>
  <r>
    <x v="95"/>
    <x v="1"/>
    <n v="0"/>
  </r>
  <r>
    <x v="95"/>
    <x v="3"/>
    <n v="2200"/>
  </r>
  <r>
    <x v="95"/>
    <x v="4"/>
    <n v="5868.75"/>
  </r>
  <r>
    <x v="95"/>
    <x v="5"/>
    <n v="10366.200000000001"/>
  </r>
  <r>
    <x v="95"/>
    <x v="6"/>
    <n v="200004.64"/>
  </r>
  <r>
    <x v="95"/>
    <x v="11"/>
    <n v="1375"/>
  </r>
  <r>
    <x v="95"/>
    <x v="0"/>
    <n v="8428.4"/>
  </r>
  <r>
    <x v="95"/>
    <x v="14"/>
    <n v="79"/>
  </r>
  <r>
    <x v="95"/>
    <x v="16"/>
    <n v="2175"/>
  </r>
  <r>
    <x v="95"/>
    <x v="18"/>
    <n v="2249.67"/>
  </r>
  <r>
    <x v="95"/>
    <x v="25"/>
    <n v="47416.42"/>
  </r>
  <r>
    <x v="95"/>
    <x v="19"/>
    <n v="448.95"/>
  </r>
  <r>
    <x v="96"/>
    <x v="1"/>
    <n v="-3973.98"/>
  </r>
  <r>
    <x v="96"/>
    <x v="3"/>
    <n v="7995"/>
  </r>
  <r>
    <x v="96"/>
    <x v="5"/>
    <n v="4275"/>
  </r>
  <r>
    <x v="96"/>
    <x v="6"/>
    <n v="503513.31"/>
  </r>
  <r>
    <x v="96"/>
    <x v="0"/>
    <n v="4312.5"/>
  </r>
  <r>
    <x v="96"/>
    <x v="18"/>
    <n v="460.07"/>
  </r>
  <r>
    <x v="96"/>
    <x v="25"/>
    <n v="4207.9399999999996"/>
  </r>
  <r>
    <x v="96"/>
    <x v="19"/>
    <n v="1800.6"/>
  </r>
  <r>
    <x v="97"/>
    <x v="1"/>
    <n v="0"/>
  </r>
  <r>
    <x v="97"/>
    <x v="21"/>
    <n v="686.7"/>
  </r>
  <r>
    <x v="97"/>
    <x v="6"/>
    <n v="4681.63"/>
  </r>
  <r>
    <x v="97"/>
    <x v="7"/>
    <n v="5508.44"/>
  </r>
  <r>
    <x v="97"/>
    <x v="10"/>
    <n v="16002.33"/>
  </r>
  <r>
    <x v="97"/>
    <x v="11"/>
    <n v="4861.55"/>
  </r>
  <r>
    <x v="97"/>
    <x v="12"/>
    <n v="7134.17"/>
  </r>
  <r>
    <x v="97"/>
    <x v="0"/>
    <n v="20346.830000000002"/>
  </r>
  <r>
    <x v="97"/>
    <x v="13"/>
    <n v="147.30000000000001"/>
  </r>
  <r>
    <x v="97"/>
    <x v="14"/>
    <n v="796.99"/>
  </r>
  <r>
    <x v="97"/>
    <x v="15"/>
    <n v="2268.54"/>
  </r>
  <r>
    <x v="97"/>
    <x v="16"/>
    <n v="32710.78"/>
  </r>
  <r>
    <x v="97"/>
    <x v="18"/>
    <n v="3577.23"/>
  </r>
  <r>
    <x v="97"/>
    <x v="25"/>
    <n v="20594.189999999999"/>
  </r>
  <r>
    <x v="97"/>
    <x v="19"/>
    <n v="2609.79"/>
  </r>
  <r>
    <x v="98"/>
    <x v="1"/>
    <n v="0"/>
  </r>
  <r>
    <x v="98"/>
    <x v="21"/>
    <n v="3085.99"/>
  </r>
  <r>
    <x v="98"/>
    <x v="2"/>
    <n v="5299.02"/>
  </r>
  <r>
    <x v="98"/>
    <x v="3"/>
    <n v="4346.58"/>
  </r>
  <r>
    <x v="98"/>
    <x v="4"/>
    <n v="77827.58"/>
  </r>
  <r>
    <x v="98"/>
    <x v="5"/>
    <n v="633.59"/>
  </r>
  <r>
    <x v="98"/>
    <x v="6"/>
    <n v="29145.45"/>
  </r>
  <r>
    <x v="98"/>
    <x v="7"/>
    <n v="57599"/>
  </r>
  <r>
    <x v="98"/>
    <x v="9"/>
    <n v="94.23"/>
  </r>
  <r>
    <x v="98"/>
    <x v="10"/>
    <n v="10199.709999999999"/>
  </r>
  <r>
    <x v="98"/>
    <x v="11"/>
    <n v="2756.21"/>
  </r>
  <r>
    <x v="98"/>
    <x v="12"/>
    <n v="2583.33"/>
  </r>
  <r>
    <x v="98"/>
    <x v="0"/>
    <n v="32542.22"/>
  </r>
  <r>
    <x v="98"/>
    <x v="14"/>
    <n v="1928.19"/>
  </r>
  <r>
    <x v="98"/>
    <x v="16"/>
    <n v="7626.43"/>
  </r>
  <r>
    <x v="98"/>
    <x v="17"/>
    <n v="380.51"/>
  </r>
  <r>
    <x v="98"/>
    <x v="18"/>
    <n v="6173.13"/>
  </r>
  <r>
    <x v="98"/>
    <x v="25"/>
    <n v="7257.81"/>
  </r>
  <r>
    <x v="98"/>
    <x v="19"/>
    <n v="577.78"/>
  </r>
  <r>
    <x v="99"/>
    <x v="1"/>
    <n v="0"/>
  </r>
  <r>
    <x v="99"/>
    <x v="2"/>
    <n v="10"/>
  </r>
  <r>
    <x v="99"/>
    <x v="4"/>
    <n v="17078.189999999999"/>
  </r>
  <r>
    <x v="99"/>
    <x v="6"/>
    <n v="1233.1400000000001"/>
  </r>
  <r>
    <x v="99"/>
    <x v="7"/>
    <n v="9529.82"/>
  </r>
  <r>
    <x v="99"/>
    <x v="10"/>
    <n v="1756.6"/>
  </r>
  <r>
    <x v="99"/>
    <x v="0"/>
    <n v="1840.28"/>
  </r>
  <r>
    <x v="99"/>
    <x v="14"/>
    <n v="30.24"/>
  </r>
  <r>
    <x v="100"/>
    <x v="1"/>
    <n v="0"/>
  </r>
  <r>
    <x v="100"/>
    <x v="21"/>
    <n v="1057.3800000000001"/>
  </r>
  <r>
    <x v="100"/>
    <x v="2"/>
    <n v="379.92"/>
  </r>
  <r>
    <x v="100"/>
    <x v="3"/>
    <n v="764.33"/>
  </r>
  <r>
    <x v="100"/>
    <x v="4"/>
    <n v="6061.38"/>
  </r>
  <r>
    <x v="100"/>
    <x v="5"/>
    <n v="126.55"/>
  </r>
  <r>
    <x v="100"/>
    <x v="6"/>
    <n v="3159.76"/>
  </r>
  <r>
    <x v="100"/>
    <x v="7"/>
    <n v="5867.11"/>
  </r>
  <r>
    <x v="100"/>
    <x v="8"/>
    <n v="123.13"/>
  </r>
  <r>
    <x v="100"/>
    <x v="9"/>
    <n v="297"/>
  </r>
  <r>
    <x v="100"/>
    <x v="10"/>
    <n v="23984.79"/>
  </r>
  <r>
    <x v="100"/>
    <x v="11"/>
    <n v="8084.31"/>
  </r>
  <r>
    <x v="100"/>
    <x v="12"/>
    <n v="519.84"/>
  </r>
  <r>
    <x v="100"/>
    <x v="0"/>
    <n v="-7.76"/>
  </r>
  <r>
    <x v="100"/>
    <x v="14"/>
    <n v="2125.66"/>
  </r>
  <r>
    <x v="100"/>
    <x v="16"/>
    <n v="296.97000000000003"/>
  </r>
  <r>
    <x v="100"/>
    <x v="25"/>
    <n v="38.950000000000003"/>
  </r>
  <r>
    <x v="101"/>
    <x v="1"/>
    <n v="0"/>
  </r>
  <r>
    <x v="101"/>
    <x v="16"/>
    <n v="174"/>
  </r>
  <r>
    <x v="101"/>
    <x v="25"/>
    <n v="65.8"/>
  </r>
  <r>
    <x v="102"/>
    <x v="1"/>
    <n v="0"/>
  </r>
  <r>
    <x v="102"/>
    <x v="2"/>
    <n v="1256.8399999999999"/>
  </r>
  <r>
    <x v="102"/>
    <x v="3"/>
    <n v="449"/>
  </r>
  <r>
    <x v="102"/>
    <x v="4"/>
    <n v="110362.3"/>
  </r>
  <r>
    <x v="102"/>
    <x v="5"/>
    <n v="3231.95"/>
  </r>
  <r>
    <x v="102"/>
    <x v="6"/>
    <n v="1578.75"/>
  </r>
  <r>
    <x v="102"/>
    <x v="11"/>
    <n v="8232.19"/>
  </r>
  <r>
    <x v="102"/>
    <x v="12"/>
    <n v="1416.07"/>
  </r>
  <r>
    <x v="102"/>
    <x v="0"/>
    <n v="137.52000000000001"/>
  </r>
  <r>
    <x v="102"/>
    <x v="14"/>
    <n v="10912.54"/>
  </r>
  <r>
    <x v="102"/>
    <x v="16"/>
    <n v="2462.2199999999998"/>
  </r>
  <r>
    <x v="102"/>
    <x v="18"/>
    <n v="1997.86"/>
  </r>
  <r>
    <x v="102"/>
    <x v="25"/>
    <n v="11251"/>
  </r>
  <r>
    <x v="102"/>
    <x v="19"/>
    <n v="1540.97"/>
  </r>
  <r>
    <x v="102"/>
    <x v="20"/>
    <n v="93.51"/>
  </r>
  <r>
    <x v="103"/>
    <x v="1"/>
    <n v="0"/>
  </r>
  <r>
    <x v="103"/>
    <x v="21"/>
    <n v="6626"/>
  </r>
  <r>
    <x v="103"/>
    <x v="4"/>
    <n v="1631.25"/>
  </r>
  <r>
    <x v="103"/>
    <x v="5"/>
    <n v="8115.58"/>
  </r>
  <r>
    <x v="103"/>
    <x v="6"/>
    <n v="5642.83"/>
  </r>
  <r>
    <x v="103"/>
    <x v="7"/>
    <n v="755"/>
  </r>
  <r>
    <x v="103"/>
    <x v="10"/>
    <n v="130.04"/>
  </r>
  <r>
    <x v="103"/>
    <x v="11"/>
    <n v="10863.44"/>
  </r>
  <r>
    <x v="103"/>
    <x v="14"/>
    <n v="216.67"/>
  </r>
  <r>
    <x v="103"/>
    <x v="18"/>
    <n v="76802.25"/>
  </r>
  <r>
    <x v="103"/>
    <x v="25"/>
    <n v="4076.93"/>
  </r>
  <r>
    <x v="104"/>
    <x v="1"/>
    <n v="-134.54"/>
  </r>
  <r>
    <x v="104"/>
    <x v="21"/>
    <n v="5095.59"/>
  </r>
  <r>
    <x v="104"/>
    <x v="2"/>
    <n v="99"/>
  </r>
  <r>
    <x v="104"/>
    <x v="6"/>
    <n v="75349.42"/>
  </r>
  <r>
    <x v="104"/>
    <x v="7"/>
    <n v="3392.23"/>
  </r>
  <r>
    <x v="104"/>
    <x v="10"/>
    <n v="517.23"/>
  </r>
  <r>
    <x v="104"/>
    <x v="11"/>
    <n v="95165.69"/>
  </r>
  <r>
    <x v="104"/>
    <x v="12"/>
    <n v="101290.15"/>
  </r>
  <r>
    <x v="104"/>
    <x v="0"/>
    <n v="26004.32"/>
  </r>
  <r>
    <x v="104"/>
    <x v="16"/>
    <n v="10337.77"/>
  </r>
  <r>
    <x v="104"/>
    <x v="18"/>
    <n v="30767.71"/>
  </r>
  <r>
    <x v="104"/>
    <x v="25"/>
    <n v="83736.3"/>
  </r>
  <r>
    <x v="104"/>
    <x v="19"/>
    <n v="2005.26"/>
  </r>
  <r>
    <x v="105"/>
    <x v="1"/>
    <n v="0"/>
  </r>
  <r>
    <x v="105"/>
    <x v="21"/>
    <n v="1017.6"/>
  </r>
  <r>
    <x v="105"/>
    <x v="7"/>
    <n v="79633.02"/>
  </r>
  <r>
    <x v="105"/>
    <x v="23"/>
    <n v="147.9"/>
  </r>
  <r>
    <x v="105"/>
    <x v="10"/>
    <n v="1345.65"/>
  </r>
  <r>
    <x v="105"/>
    <x v="0"/>
    <n v="12688.66"/>
  </r>
  <r>
    <x v="105"/>
    <x v="16"/>
    <n v="20669.47"/>
  </r>
  <r>
    <x v="106"/>
    <x v="1"/>
    <n v="0"/>
  </r>
  <r>
    <x v="106"/>
    <x v="4"/>
    <n v="19324.330000000002"/>
  </r>
  <r>
    <x v="106"/>
    <x v="11"/>
    <n v="-2285.94"/>
  </r>
  <r>
    <x v="106"/>
    <x v="0"/>
    <n v="4724.9799999999996"/>
  </r>
  <r>
    <x v="106"/>
    <x v="18"/>
    <n v="3000"/>
  </r>
  <r>
    <x v="107"/>
    <x v="1"/>
    <n v="0"/>
  </r>
  <r>
    <x v="107"/>
    <x v="4"/>
    <n v="556221.30000000005"/>
  </r>
  <r>
    <x v="107"/>
    <x v="8"/>
    <n v="-3890.37"/>
  </r>
  <r>
    <x v="107"/>
    <x v="10"/>
    <n v="615.79999999999995"/>
  </r>
  <r>
    <x v="108"/>
    <x v="1"/>
    <n v="0"/>
  </r>
  <r>
    <x v="108"/>
    <x v="21"/>
    <n v="208.87"/>
  </r>
  <r>
    <x v="108"/>
    <x v="2"/>
    <n v="238"/>
  </r>
  <r>
    <x v="108"/>
    <x v="3"/>
    <n v="37653.760000000002"/>
  </r>
  <r>
    <x v="108"/>
    <x v="4"/>
    <n v="195"/>
  </r>
  <r>
    <x v="108"/>
    <x v="7"/>
    <n v="77"/>
  </r>
  <r>
    <x v="108"/>
    <x v="8"/>
    <n v="32"/>
  </r>
  <r>
    <x v="108"/>
    <x v="9"/>
    <n v="67"/>
  </r>
  <r>
    <x v="108"/>
    <x v="10"/>
    <n v="32"/>
  </r>
  <r>
    <x v="108"/>
    <x v="12"/>
    <n v="357"/>
  </r>
  <r>
    <x v="108"/>
    <x v="14"/>
    <n v="15"/>
  </r>
  <r>
    <x v="108"/>
    <x v="16"/>
    <n v="350"/>
  </r>
  <r>
    <x v="108"/>
    <x v="25"/>
    <n v="3003.8"/>
  </r>
  <r>
    <x v="109"/>
    <x v="1"/>
    <n v="68.239999999999995"/>
  </r>
  <r>
    <x v="109"/>
    <x v="3"/>
    <n v="-0.01"/>
  </r>
  <r>
    <x v="110"/>
    <x v="1"/>
    <n v="0"/>
  </r>
  <r>
    <x v="110"/>
    <x v="2"/>
    <n v="267422.49"/>
  </r>
  <r>
    <x v="110"/>
    <x v="4"/>
    <n v="7674.8"/>
  </r>
  <r>
    <x v="110"/>
    <x v="5"/>
    <n v="6365.2"/>
  </r>
  <r>
    <x v="110"/>
    <x v="6"/>
    <n v="572.85"/>
  </r>
  <r>
    <x v="110"/>
    <x v="7"/>
    <n v="3043.2"/>
  </r>
  <r>
    <x v="110"/>
    <x v="9"/>
    <n v="6334"/>
  </r>
  <r>
    <x v="110"/>
    <x v="10"/>
    <n v="7295.14"/>
  </r>
  <r>
    <x v="110"/>
    <x v="12"/>
    <n v="305.8"/>
  </r>
  <r>
    <x v="110"/>
    <x v="0"/>
    <n v="4733.8"/>
  </r>
  <r>
    <x v="110"/>
    <x v="14"/>
    <n v="47234.73"/>
  </r>
  <r>
    <x v="110"/>
    <x v="16"/>
    <n v="10081.23"/>
  </r>
  <r>
    <x v="110"/>
    <x v="18"/>
    <n v="413"/>
  </r>
  <r>
    <x v="110"/>
    <x v="19"/>
    <n v="2122.69"/>
  </r>
  <r>
    <x v="110"/>
    <x v="20"/>
    <n v="7103.8"/>
  </r>
  <r>
    <x v="111"/>
    <x v="1"/>
    <n v="0"/>
  </r>
  <r>
    <x v="111"/>
    <x v="2"/>
    <n v="178205.92"/>
  </r>
  <r>
    <x v="111"/>
    <x v="14"/>
    <n v="155.26"/>
  </r>
  <r>
    <x v="112"/>
    <x v="1"/>
    <n v="0"/>
  </r>
  <r>
    <x v="112"/>
    <x v="2"/>
    <n v="79043.47"/>
  </r>
  <r>
    <x v="112"/>
    <x v="4"/>
    <n v="4324.0600000000004"/>
  </r>
  <r>
    <x v="112"/>
    <x v="5"/>
    <n v="178.62"/>
  </r>
  <r>
    <x v="112"/>
    <x v="6"/>
    <n v="237.39"/>
  </r>
  <r>
    <x v="112"/>
    <x v="7"/>
    <n v="1307.97"/>
  </r>
  <r>
    <x v="112"/>
    <x v="9"/>
    <n v="2327.3000000000002"/>
  </r>
  <r>
    <x v="112"/>
    <x v="10"/>
    <n v="13363.44"/>
  </r>
  <r>
    <x v="112"/>
    <x v="0"/>
    <n v="919.07"/>
  </r>
  <r>
    <x v="112"/>
    <x v="14"/>
    <n v="10914.31"/>
  </r>
  <r>
    <x v="112"/>
    <x v="16"/>
    <n v="10289.41"/>
  </r>
  <r>
    <x v="112"/>
    <x v="25"/>
    <n v="597.88"/>
  </r>
  <r>
    <x v="112"/>
    <x v="19"/>
    <n v="817.86"/>
  </r>
  <r>
    <x v="112"/>
    <x v="20"/>
    <n v="843.57"/>
  </r>
  <r>
    <x v="113"/>
    <x v="1"/>
    <n v="0"/>
  </r>
  <r>
    <x v="113"/>
    <x v="2"/>
    <n v="10548.36"/>
  </r>
  <r>
    <x v="113"/>
    <x v="3"/>
    <n v="8.57"/>
  </r>
  <r>
    <x v="113"/>
    <x v="4"/>
    <n v="7157.49"/>
  </r>
  <r>
    <x v="113"/>
    <x v="5"/>
    <n v="568.55999999999995"/>
  </r>
  <r>
    <x v="113"/>
    <x v="6"/>
    <n v="316.2"/>
  </r>
  <r>
    <x v="113"/>
    <x v="7"/>
    <n v="5384.41"/>
  </r>
  <r>
    <x v="113"/>
    <x v="9"/>
    <n v="1782.37"/>
  </r>
  <r>
    <x v="113"/>
    <x v="10"/>
    <n v="13088.72"/>
  </r>
  <r>
    <x v="113"/>
    <x v="11"/>
    <n v="3894.02"/>
  </r>
  <r>
    <x v="113"/>
    <x v="12"/>
    <n v="3783.88"/>
  </r>
  <r>
    <x v="113"/>
    <x v="0"/>
    <n v="15023.63"/>
  </r>
  <r>
    <x v="113"/>
    <x v="14"/>
    <n v="6605.73"/>
  </r>
  <r>
    <x v="113"/>
    <x v="16"/>
    <n v="14102.69"/>
  </r>
  <r>
    <x v="113"/>
    <x v="25"/>
    <n v="333.43"/>
  </r>
  <r>
    <x v="113"/>
    <x v="19"/>
    <n v="3137.08"/>
  </r>
  <r>
    <x v="113"/>
    <x v="20"/>
    <n v="1106.9100000000001"/>
  </r>
  <r>
    <x v="114"/>
    <x v="1"/>
    <n v="0"/>
  </r>
  <r>
    <x v="114"/>
    <x v="2"/>
    <n v="12311.99"/>
  </r>
  <r>
    <x v="114"/>
    <x v="4"/>
    <n v="494.77"/>
  </r>
  <r>
    <x v="114"/>
    <x v="5"/>
    <n v="105.11"/>
  </r>
  <r>
    <x v="114"/>
    <x v="7"/>
    <n v="213.24"/>
  </r>
  <r>
    <x v="114"/>
    <x v="9"/>
    <n v="723.53"/>
  </r>
  <r>
    <x v="114"/>
    <x v="10"/>
    <n v="2028.52"/>
  </r>
  <r>
    <x v="114"/>
    <x v="11"/>
    <n v="395.35"/>
  </r>
  <r>
    <x v="114"/>
    <x v="12"/>
    <n v="120.64"/>
  </r>
  <r>
    <x v="114"/>
    <x v="0"/>
    <n v="262.24"/>
  </r>
  <r>
    <x v="114"/>
    <x v="14"/>
    <n v="4377.7"/>
  </r>
  <r>
    <x v="114"/>
    <x v="16"/>
    <n v="1412.94"/>
  </r>
  <r>
    <x v="114"/>
    <x v="25"/>
    <n v="90.27"/>
  </r>
  <r>
    <x v="114"/>
    <x v="19"/>
    <n v="377.92"/>
  </r>
  <r>
    <x v="114"/>
    <x v="20"/>
    <n v="97.38"/>
  </r>
  <r>
    <x v="115"/>
    <x v="1"/>
    <n v="0"/>
  </r>
  <r>
    <x v="115"/>
    <x v="2"/>
    <n v="1566.56"/>
  </r>
  <r>
    <x v="115"/>
    <x v="4"/>
    <n v="9.9499999999999993"/>
  </r>
  <r>
    <x v="115"/>
    <x v="5"/>
    <n v="9.9499999999999993"/>
  </r>
  <r>
    <x v="115"/>
    <x v="9"/>
    <n v="38.9"/>
  </r>
  <r>
    <x v="115"/>
    <x v="10"/>
    <n v="655.79"/>
  </r>
  <r>
    <x v="115"/>
    <x v="0"/>
    <n v="40"/>
  </r>
  <r>
    <x v="115"/>
    <x v="14"/>
    <n v="84.9"/>
  </r>
  <r>
    <x v="115"/>
    <x v="16"/>
    <n v="218.96"/>
  </r>
  <r>
    <x v="115"/>
    <x v="20"/>
    <n v="12.99"/>
  </r>
  <r>
    <x v="116"/>
    <x v="1"/>
    <n v="0"/>
  </r>
  <r>
    <x v="116"/>
    <x v="2"/>
    <n v="43.6"/>
  </r>
  <r>
    <x v="116"/>
    <x v="10"/>
    <n v="278.89999999999998"/>
  </r>
  <r>
    <x v="117"/>
    <x v="1"/>
    <n v="0"/>
  </r>
  <r>
    <x v="117"/>
    <x v="3"/>
    <n v="1476"/>
  </r>
  <r>
    <x v="117"/>
    <x v="4"/>
    <n v="55712.66"/>
  </r>
  <r>
    <x v="118"/>
    <x v="1"/>
    <n v="0"/>
  </r>
  <r>
    <x v="118"/>
    <x v="2"/>
    <n v="2500"/>
  </r>
  <r>
    <x v="119"/>
    <x v="1"/>
    <n v="0"/>
  </r>
  <r>
    <x v="119"/>
    <x v="21"/>
    <n v="38961.449999999997"/>
  </r>
  <r>
    <x v="119"/>
    <x v="2"/>
    <n v="5280.92"/>
  </r>
  <r>
    <x v="119"/>
    <x v="3"/>
    <n v="151.84"/>
  </r>
  <r>
    <x v="119"/>
    <x v="4"/>
    <n v="1867.82"/>
  </r>
  <r>
    <x v="119"/>
    <x v="5"/>
    <n v="42"/>
  </r>
  <r>
    <x v="119"/>
    <x v="6"/>
    <n v="575"/>
  </r>
  <r>
    <x v="119"/>
    <x v="7"/>
    <n v="729.97"/>
  </r>
  <r>
    <x v="119"/>
    <x v="10"/>
    <n v="-18.3"/>
  </r>
  <r>
    <x v="119"/>
    <x v="11"/>
    <n v="5393.25"/>
  </r>
  <r>
    <x v="119"/>
    <x v="12"/>
    <n v="475.62"/>
  </r>
  <r>
    <x v="119"/>
    <x v="0"/>
    <n v="2734.96"/>
  </r>
  <r>
    <x v="119"/>
    <x v="16"/>
    <n v="928.07"/>
  </r>
  <r>
    <x v="119"/>
    <x v="18"/>
    <n v="1331.25"/>
  </r>
  <r>
    <x v="119"/>
    <x v="25"/>
    <n v="21475.75"/>
  </r>
  <r>
    <x v="119"/>
    <x v="19"/>
    <n v="199.34"/>
  </r>
  <r>
    <x v="120"/>
    <x v="1"/>
    <n v="-39.380000000000003"/>
  </r>
  <r>
    <x v="120"/>
    <x v="21"/>
    <n v="1001.42"/>
  </r>
  <r>
    <x v="120"/>
    <x v="2"/>
    <n v="1673.33"/>
  </r>
  <r>
    <x v="120"/>
    <x v="5"/>
    <n v="65"/>
  </r>
  <r>
    <x v="120"/>
    <x v="6"/>
    <n v="18182.830000000002"/>
  </r>
  <r>
    <x v="120"/>
    <x v="7"/>
    <n v="9611.83"/>
  </r>
  <r>
    <x v="120"/>
    <x v="10"/>
    <n v="2485"/>
  </r>
  <r>
    <x v="120"/>
    <x v="11"/>
    <n v="67076.73"/>
  </r>
  <r>
    <x v="120"/>
    <x v="12"/>
    <n v="13431.14"/>
  </r>
  <r>
    <x v="120"/>
    <x v="0"/>
    <n v="49404.55"/>
  </r>
  <r>
    <x v="120"/>
    <x v="14"/>
    <n v="-1081.33"/>
  </r>
  <r>
    <x v="120"/>
    <x v="16"/>
    <n v="86545.56"/>
  </r>
  <r>
    <x v="120"/>
    <x v="17"/>
    <n v="200"/>
  </r>
  <r>
    <x v="120"/>
    <x v="18"/>
    <n v="114830.5"/>
  </r>
  <r>
    <x v="120"/>
    <x v="25"/>
    <n v="118813.55"/>
  </r>
  <r>
    <x v="120"/>
    <x v="19"/>
    <n v="4783.0600000000004"/>
  </r>
  <r>
    <x v="120"/>
    <x v="20"/>
    <n v="188.34"/>
  </r>
  <r>
    <x v="121"/>
    <x v="1"/>
    <n v="16.02"/>
  </r>
  <r>
    <x v="121"/>
    <x v="6"/>
    <n v="1783.32"/>
  </r>
  <r>
    <x v="121"/>
    <x v="7"/>
    <n v="371.77"/>
  </r>
  <r>
    <x v="121"/>
    <x v="10"/>
    <n v="55641.66"/>
  </r>
  <r>
    <x v="121"/>
    <x v="11"/>
    <n v="78678.06"/>
  </r>
  <r>
    <x v="121"/>
    <x v="12"/>
    <n v="382073.23"/>
  </r>
  <r>
    <x v="121"/>
    <x v="0"/>
    <n v="850435.55"/>
  </r>
  <r>
    <x v="121"/>
    <x v="13"/>
    <n v="59254.43"/>
  </r>
  <r>
    <x v="121"/>
    <x v="14"/>
    <n v="15838.24"/>
  </r>
  <r>
    <x v="121"/>
    <x v="16"/>
    <n v="80314.570000000007"/>
  </r>
  <r>
    <x v="121"/>
    <x v="17"/>
    <n v="38035.58"/>
  </r>
  <r>
    <x v="121"/>
    <x v="18"/>
    <n v="10971.18"/>
  </r>
  <r>
    <x v="121"/>
    <x v="25"/>
    <n v="525.03"/>
  </r>
  <r>
    <x v="121"/>
    <x v="19"/>
    <n v="155.44"/>
  </r>
  <r>
    <x v="122"/>
    <x v="1"/>
    <n v="0"/>
  </r>
  <r>
    <x v="122"/>
    <x v="6"/>
    <n v="21.91"/>
  </r>
  <r>
    <x v="122"/>
    <x v="10"/>
    <n v="881.61"/>
  </r>
  <r>
    <x v="122"/>
    <x v="12"/>
    <n v="8898.77"/>
  </r>
  <r>
    <x v="122"/>
    <x v="0"/>
    <n v="41784.97"/>
  </r>
  <r>
    <x v="122"/>
    <x v="13"/>
    <n v="331.28"/>
  </r>
  <r>
    <x v="122"/>
    <x v="14"/>
    <n v="1134.92"/>
  </r>
  <r>
    <x v="123"/>
    <x v="1"/>
    <n v="0"/>
  </r>
  <r>
    <x v="123"/>
    <x v="11"/>
    <n v="201.63"/>
  </r>
  <r>
    <x v="124"/>
    <x v="1"/>
    <n v="1009.8"/>
  </r>
  <r>
    <x v="124"/>
    <x v="23"/>
    <n v="90.09"/>
  </r>
  <r>
    <x v="124"/>
    <x v="12"/>
    <n v="76749.440000000002"/>
  </r>
  <r>
    <x v="124"/>
    <x v="0"/>
    <n v="92307.83"/>
  </r>
  <r>
    <x v="124"/>
    <x v="16"/>
    <n v="1571649.59"/>
  </r>
  <r>
    <x v="124"/>
    <x v="18"/>
    <n v="1087.5"/>
  </r>
  <r>
    <x v="125"/>
    <x v="1"/>
    <n v="0"/>
  </r>
  <r>
    <x v="125"/>
    <x v="4"/>
    <n v="-7295283.0700000003"/>
  </r>
  <r>
    <x v="126"/>
    <x v="1"/>
    <n v="0"/>
  </r>
  <r>
    <x v="126"/>
    <x v="2"/>
    <n v="108352.09"/>
  </r>
  <r>
    <x v="126"/>
    <x v="3"/>
    <n v="135234.82999999999"/>
  </r>
  <r>
    <x v="126"/>
    <x v="5"/>
    <n v="161309.03"/>
  </r>
  <r>
    <x v="126"/>
    <x v="8"/>
    <n v="27719.85"/>
  </r>
  <r>
    <x v="126"/>
    <x v="9"/>
    <n v="29429.32"/>
  </r>
  <r>
    <x v="126"/>
    <x v="10"/>
    <n v="60741.48"/>
  </r>
  <r>
    <x v="126"/>
    <x v="11"/>
    <n v="332817.46999999997"/>
  </r>
  <r>
    <x v="126"/>
    <x v="12"/>
    <n v="403727.95"/>
  </r>
  <r>
    <x v="126"/>
    <x v="0"/>
    <n v="1316657.4099999999"/>
  </r>
  <r>
    <x v="126"/>
    <x v="13"/>
    <n v="42698.84"/>
  </r>
  <r>
    <x v="126"/>
    <x v="14"/>
    <n v="207780.3"/>
  </r>
  <r>
    <x v="126"/>
    <x v="15"/>
    <n v="17521.04"/>
  </r>
  <r>
    <x v="126"/>
    <x v="16"/>
    <n v="1114659.94"/>
  </r>
  <r>
    <x v="126"/>
    <x v="17"/>
    <n v="27692.41"/>
  </r>
  <r>
    <x v="126"/>
    <x v="18"/>
    <n v="2444461.13"/>
  </r>
  <r>
    <x v="126"/>
    <x v="19"/>
    <n v="499788.97"/>
  </r>
  <r>
    <x v="126"/>
    <x v="20"/>
    <n v="364691.01"/>
  </r>
  <r>
    <x v="127"/>
    <x v="1"/>
    <n v="0"/>
  </r>
  <r>
    <x v="127"/>
    <x v="7"/>
    <n v="-7836991.5300000003"/>
  </r>
  <r>
    <x v="128"/>
    <x v="1"/>
    <n v="0"/>
  </r>
  <r>
    <x v="128"/>
    <x v="2"/>
    <n v="112546.76"/>
  </r>
  <r>
    <x v="128"/>
    <x v="3"/>
    <n v="133444.65"/>
  </r>
  <r>
    <x v="128"/>
    <x v="4"/>
    <n v="261610.14"/>
  </r>
  <r>
    <x v="128"/>
    <x v="5"/>
    <n v="164973.15"/>
  </r>
  <r>
    <x v="128"/>
    <x v="6"/>
    <n v="154933.12"/>
  </r>
  <r>
    <x v="128"/>
    <x v="8"/>
    <n v="24250.52"/>
  </r>
  <r>
    <x v="128"/>
    <x v="9"/>
    <n v="32281.29"/>
  </r>
  <r>
    <x v="128"/>
    <x v="11"/>
    <n v="340652.12"/>
  </r>
  <r>
    <x v="128"/>
    <x v="12"/>
    <n v="399408.35"/>
  </r>
  <r>
    <x v="128"/>
    <x v="0"/>
    <n v="1323214.32"/>
  </r>
  <r>
    <x v="128"/>
    <x v="13"/>
    <n v="42902.559999999998"/>
  </r>
  <r>
    <x v="128"/>
    <x v="14"/>
    <n v="214681.29"/>
  </r>
  <r>
    <x v="128"/>
    <x v="15"/>
    <n v="19315.46"/>
  </r>
  <r>
    <x v="128"/>
    <x v="16"/>
    <n v="1160552.69"/>
  </r>
  <r>
    <x v="128"/>
    <x v="17"/>
    <n v="28731.16"/>
  </r>
  <r>
    <x v="128"/>
    <x v="18"/>
    <n v="2535399.7400000002"/>
  </r>
  <r>
    <x v="128"/>
    <x v="19"/>
    <n v="509847.57"/>
  </r>
  <r>
    <x v="128"/>
    <x v="20"/>
    <n v="378246.64"/>
  </r>
  <r>
    <x v="129"/>
    <x v="1"/>
    <n v="0"/>
  </r>
  <r>
    <x v="129"/>
    <x v="6"/>
    <n v="-2411493.06"/>
  </r>
  <r>
    <x v="130"/>
    <x v="1"/>
    <n v="0"/>
  </r>
  <r>
    <x v="130"/>
    <x v="2"/>
    <n v="35454.870000000003"/>
  </r>
  <r>
    <x v="130"/>
    <x v="3"/>
    <n v="44523.24"/>
  </r>
  <r>
    <x v="130"/>
    <x v="5"/>
    <n v="52330.69"/>
  </r>
  <r>
    <x v="130"/>
    <x v="8"/>
    <n v="9190.44"/>
  </r>
  <r>
    <x v="130"/>
    <x v="9"/>
    <n v="9693.1"/>
  </r>
  <r>
    <x v="130"/>
    <x v="10"/>
    <n v="34287.82"/>
  </r>
  <r>
    <x v="130"/>
    <x v="11"/>
    <n v="108812.65"/>
  </r>
  <r>
    <x v="130"/>
    <x v="12"/>
    <n v="133150.1"/>
  </r>
  <r>
    <x v="130"/>
    <x v="0"/>
    <n v="436636.01"/>
  </r>
  <r>
    <x v="130"/>
    <x v="13"/>
    <n v="14019.25"/>
  </r>
  <r>
    <x v="130"/>
    <x v="14"/>
    <n v="68385.100000000006"/>
  </r>
  <r>
    <x v="130"/>
    <x v="15"/>
    <n v="5780.49"/>
  </r>
  <r>
    <x v="130"/>
    <x v="16"/>
    <n v="365241.98"/>
  </r>
  <r>
    <x v="130"/>
    <x v="17"/>
    <n v="9070.9500000000007"/>
  </r>
  <r>
    <x v="130"/>
    <x v="18"/>
    <n v="801170.08"/>
  </r>
  <r>
    <x v="130"/>
    <x v="19"/>
    <n v="164333.29999999999"/>
  </r>
  <r>
    <x v="130"/>
    <x v="20"/>
    <n v="119412.99"/>
  </r>
  <r>
    <x v="131"/>
    <x v="1"/>
    <n v="-366536.4"/>
  </r>
  <r>
    <x v="132"/>
    <x v="1"/>
    <n v="382528.04"/>
  </r>
  <r>
    <x v="133"/>
    <x v="1"/>
    <n v="800"/>
  </r>
  <r>
    <x v="134"/>
    <x v="1"/>
    <n v="25"/>
  </r>
  <r>
    <x v="135"/>
    <x v="1"/>
    <n v="99.97"/>
  </r>
  <r>
    <x v="136"/>
    <x v="1"/>
    <n v="0.05"/>
  </r>
  <r>
    <x v="137"/>
    <x v="1"/>
    <n v="-107623.93"/>
  </r>
  <r>
    <x v="137"/>
    <x v="11"/>
    <n v="3.27"/>
  </r>
  <r>
    <x v="137"/>
    <x v="18"/>
    <n v="4250"/>
  </r>
  <r>
    <x v="137"/>
    <x v="25"/>
    <n v="42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8:AB148" firstHeaderRow="1" firstDataRow="2" firstDataCol="1"/>
  <pivotFields count="3">
    <pivotField axis="axisRow" showAll="0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axis="axisCol" showAll="0">
      <items count="27">
        <item x="21"/>
        <item x="2"/>
        <item x="3"/>
        <item x="4"/>
        <item x="5"/>
        <item x="22"/>
        <item x="6"/>
        <item x="7"/>
        <item x="8"/>
        <item x="23"/>
        <item x="9"/>
        <item x="10"/>
        <item x="11"/>
        <item x="12"/>
        <item x="0"/>
        <item x="13"/>
        <item x="14"/>
        <item x="15"/>
        <item x="16"/>
        <item x="24"/>
        <item x="17"/>
        <item x="18"/>
        <item x="25"/>
        <item x="19"/>
        <item x="20"/>
        <item x="1"/>
        <item t="default"/>
      </items>
    </pivotField>
    <pivotField dataField="1" showAll="0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1"/>
  </colFields>
  <col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colItems>
  <dataFields count="1">
    <dataField name="Sum of Adjus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8"/>
  <sheetViews>
    <sheetView workbookViewId="0">
      <pane xSplit="1" ySplit="9" topLeftCell="B68" activePane="bottomRight" state="frozen"/>
      <selection pane="topRight" activeCell="B1" sqref="B1"/>
      <selection pane="bottomLeft" activeCell="A10" sqref="A10"/>
      <selection pane="bottomRight" activeCell="B2" sqref="B2:B5"/>
    </sheetView>
  </sheetViews>
  <sheetFormatPr defaultRowHeight="15" x14ac:dyDescent="0.25"/>
  <cols>
    <col min="1" max="1" width="18.28515625" customWidth="1"/>
    <col min="2" max="2" width="16.28515625" bestFit="1" customWidth="1"/>
    <col min="3" max="3" width="11" bestFit="1" customWidth="1"/>
    <col min="4" max="4" width="10" bestFit="1" customWidth="1"/>
    <col min="5" max="6" width="12" bestFit="1" customWidth="1"/>
    <col min="7" max="7" width="6" bestFit="1" customWidth="1"/>
    <col min="8" max="8" width="12" bestFit="1" customWidth="1"/>
    <col min="9" max="9" width="11.7109375" bestFit="1" customWidth="1"/>
    <col min="10" max="11" width="11" bestFit="1" customWidth="1"/>
    <col min="12" max="13" width="10" bestFit="1" customWidth="1"/>
    <col min="14" max="15" width="11" bestFit="1" customWidth="1"/>
    <col min="16" max="16" width="12" bestFit="1" customWidth="1"/>
    <col min="17" max="19" width="10" bestFit="1" customWidth="1"/>
    <col min="20" max="20" width="12" bestFit="1" customWidth="1"/>
    <col min="21" max="22" width="9" bestFit="1" customWidth="1"/>
    <col min="23" max="23" width="12" bestFit="1" customWidth="1"/>
    <col min="24" max="26" width="11" bestFit="1" customWidth="1"/>
    <col min="27" max="27" width="10.7109375" bestFit="1" customWidth="1"/>
    <col min="28" max="28" width="12" bestFit="1" customWidth="1"/>
  </cols>
  <sheetData>
    <row r="2" spans="1:28" x14ac:dyDescent="0.25">
      <c r="A2" t="s">
        <v>421</v>
      </c>
      <c r="B2" s="4">
        <f>SUM(N148:Z148,AA40:AA134,AA147)</f>
        <v>66742233.470000029</v>
      </c>
    </row>
    <row r="3" spans="1:28" x14ac:dyDescent="0.25">
      <c r="A3" t="s">
        <v>422</v>
      </c>
      <c r="B3">
        <f>SUM(B148:M148,AA31)</f>
        <v>25259549.709999993</v>
      </c>
    </row>
    <row r="4" spans="1:28" x14ac:dyDescent="0.25">
      <c r="A4" t="s">
        <v>423</v>
      </c>
      <c r="B4">
        <f>SUM(GETPIVOTDATA("Adjust",$A$8,"Accou",9100,"Cost center",),AA143:AA146)</f>
        <v>-365611.38000000006</v>
      </c>
    </row>
    <row r="5" spans="1:28" x14ac:dyDescent="0.25">
      <c r="A5" t="s">
        <v>300</v>
      </c>
      <c r="B5">
        <f>GETPIVOTDATA("Adjust",$A$8,"Accou",9105)</f>
        <v>382528.04</v>
      </c>
    </row>
    <row r="8" spans="1:28" x14ac:dyDescent="0.25">
      <c r="A8" t="s">
        <v>416</v>
      </c>
      <c r="B8" t="s">
        <v>417</v>
      </c>
    </row>
    <row r="9" spans="1:28" x14ac:dyDescent="0.25">
      <c r="A9" t="s">
        <v>418</v>
      </c>
      <c r="B9">
        <v>1010</v>
      </c>
      <c r="C9">
        <v>1020</v>
      </c>
      <c r="D9">
        <v>1030</v>
      </c>
      <c r="E9">
        <v>1040</v>
      </c>
      <c r="F9">
        <v>1050</v>
      </c>
      <c r="G9">
        <v>1055</v>
      </c>
      <c r="H9">
        <v>1060</v>
      </c>
      <c r="I9">
        <v>1070</v>
      </c>
      <c r="J9">
        <v>2010</v>
      </c>
      <c r="K9">
        <v>2020</v>
      </c>
      <c r="L9">
        <v>2030</v>
      </c>
      <c r="M9">
        <v>2031</v>
      </c>
      <c r="N9">
        <v>3010</v>
      </c>
      <c r="O9">
        <v>4010</v>
      </c>
      <c r="P9">
        <v>4070</v>
      </c>
      <c r="Q9">
        <v>4075</v>
      </c>
      <c r="R9">
        <v>4100</v>
      </c>
      <c r="S9">
        <v>5010</v>
      </c>
      <c r="T9">
        <v>5020</v>
      </c>
      <c r="U9">
        <v>5021</v>
      </c>
      <c r="V9">
        <v>5030</v>
      </c>
      <c r="W9">
        <v>5050</v>
      </c>
      <c r="X9">
        <v>5051</v>
      </c>
      <c r="Y9">
        <v>5060</v>
      </c>
      <c r="Z9">
        <v>5061</v>
      </c>
      <c r="AA9" t="s">
        <v>419</v>
      </c>
      <c r="AB9" t="s">
        <v>420</v>
      </c>
    </row>
    <row r="10" spans="1:28" x14ac:dyDescent="0.25">
      <c r="A10" s="51">
        <v>5200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>
        <v>826133.17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>
        <v>826133.17</v>
      </c>
    </row>
    <row r="11" spans="1:28" x14ac:dyDescent="0.25">
      <c r="A11" s="51">
        <v>5300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>
        <v>10024.08</v>
      </c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>
        <v>10024.08</v>
      </c>
    </row>
    <row r="12" spans="1:28" x14ac:dyDescent="0.25">
      <c r="A12" s="51">
        <v>5400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>
        <v>4861.5599999999995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>
        <v>4861.5599999999995</v>
      </c>
    </row>
    <row r="13" spans="1:28" x14ac:dyDescent="0.25">
      <c r="A13" s="51">
        <v>5500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>
        <v>-306374.04000000004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>
        <v>-306374.04000000004</v>
      </c>
    </row>
    <row r="14" spans="1:28" x14ac:dyDescent="0.25">
      <c r="A14" s="51">
        <v>5600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>
        <v>78578.48000000001</v>
      </c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>
        <v>78578.48000000001</v>
      </c>
    </row>
    <row r="15" spans="1:28" x14ac:dyDescent="0.25">
      <c r="A15" s="51">
        <v>5610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>
        <v>-649.34</v>
      </c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>
        <v>-649.34</v>
      </c>
    </row>
    <row r="16" spans="1:28" x14ac:dyDescent="0.25">
      <c r="A16" s="51">
        <v>5650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>
        <v>-105391.33</v>
      </c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>
        <v>-105391.33</v>
      </c>
    </row>
    <row r="17" spans="1:28" x14ac:dyDescent="0.25">
      <c r="A17" s="51">
        <v>5700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>
        <v>109053.06</v>
      </c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>
        <v>109053.06</v>
      </c>
    </row>
    <row r="18" spans="1:28" x14ac:dyDescent="0.25">
      <c r="A18" s="51">
        <v>5705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>
        <v>16272</v>
      </c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>
        <v>16272</v>
      </c>
    </row>
    <row r="19" spans="1:28" x14ac:dyDescent="0.25">
      <c r="A19" s="51">
        <v>5720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>
        <v>1008628.02</v>
      </c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>
        <v>1008628.02</v>
      </c>
    </row>
    <row r="20" spans="1:28" x14ac:dyDescent="0.25">
      <c r="A20" s="51">
        <v>5725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>
        <v>-303778.04000000004</v>
      </c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>
        <v>-303778.04000000004</v>
      </c>
    </row>
    <row r="21" spans="1:28" x14ac:dyDescent="0.25">
      <c r="A21" s="51">
        <v>5730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>
        <v>165737.27999999997</v>
      </c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>
        <v>165737.27999999997</v>
      </c>
    </row>
    <row r="22" spans="1:28" x14ac:dyDescent="0.25">
      <c r="A22" s="51">
        <v>5740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>
        <v>20161.510000000002</v>
      </c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>
        <v>20161.510000000002</v>
      </c>
    </row>
    <row r="23" spans="1:28" x14ac:dyDescent="0.25">
      <c r="A23" s="51">
        <v>5850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>
        <v>525091.37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>
        <v>525091.37</v>
      </c>
    </row>
    <row r="24" spans="1:28" x14ac:dyDescent="0.25">
      <c r="A24" s="51">
        <v>5855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>
        <v>-33161.660000000003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>
        <v>-33161.660000000003</v>
      </c>
    </row>
    <row r="25" spans="1:28" x14ac:dyDescent="0.25">
      <c r="A25" s="51">
        <v>5900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>
        <v>-56959.43</v>
      </c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>
        <v>-56959.43</v>
      </c>
    </row>
    <row r="26" spans="1:28" x14ac:dyDescent="0.25">
      <c r="A26" s="51">
        <v>5905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>
        <v>-30698.48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>
        <v>-30698.48</v>
      </c>
    </row>
    <row r="27" spans="1:28" x14ac:dyDescent="0.25">
      <c r="A27" s="51">
        <v>5998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>
        <v>-9610.83</v>
      </c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>
        <v>-9610.83</v>
      </c>
    </row>
    <row r="28" spans="1:28" x14ac:dyDescent="0.25">
      <c r="A28" s="51">
        <v>5999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>
        <v>-1937375.1099999996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>
        <v>-1937375.1099999996</v>
      </c>
    </row>
    <row r="29" spans="1:28" x14ac:dyDescent="0.25">
      <c r="A29" s="51">
        <v>6000</v>
      </c>
      <c r="B29" s="52"/>
      <c r="C29" s="52">
        <v>496714.93</v>
      </c>
      <c r="D29" s="52">
        <v>449287.39</v>
      </c>
      <c r="E29" s="52">
        <v>936734.71</v>
      </c>
      <c r="F29" s="52">
        <v>1221430.74</v>
      </c>
      <c r="G29" s="52"/>
      <c r="H29" s="52">
        <v>584864.19999999995</v>
      </c>
      <c r="I29" s="52">
        <v>840829.46</v>
      </c>
      <c r="J29" s="52">
        <v>98837.28</v>
      </c>
      <c r="K29" s="52"/>
      <c r="L29" s="52">
        <v>234018.8</v>
      </c>
      <c r="M29" s="52">
        <v>191707.71</v>
      </c>
      <c r="N29" s="52">
        <v>1093895.28</v>
      </c>
      <c r="O29" s="52">
        <v>1157249.9099999999</v>
      </c>
      <c r="P29" s="52">
        <v>3711482.19</v>
      </c>
      <c r="Q29" s="52">
        <v>147194.51</v>
      </c>
      <c r="R29" s="52">
        <v>953570.13</v>
      </c>
      <c r="S29" s="52">
        <v>106306.82</v>
      </c>
      <c r="T29" s="52">
        <v>4290718.4800000004</v>
      </c>
      <c r="U29" s="52"/>
      <c r="V29" s="52">
        <v>117002.4</v>
      </c>
      <c r="W29" s="52">
        <v>8354391.96</v>
      </c>
      <c r="X29" s="52"/>
      <c r="Y29" s="52">
        <v>2274108.5</v>
      </c>
      <c r="Z29" s="52">
        <v>1519341.09</v>
      </c>
      <c r="AA29" s="52">
        <v>0</v>
      </c>
      <c r="AB29" s="52">
        <v>28779686.490000002</v>
      </c>
    </row>
    <row r="30" spans="1:28" x14ac:dyDescent="0.25">
      <c r="A30" s="51">
        <v>6040</v>
      </c>
      <c r="B30" s="52"/>
      <c r="C30" s="52">
        <v>6654.83</v>
      </c>
      <c r="D30" s="52">
        <v>11782.75</v>
      </c>
      <c r="E30" s="52">
        <v>12609.49</v>
      </c>
      <c r="F30" s="52">
        <v>9827.15</v>
      </c>
      <c r="G30" s="52"/>
      <c r="H30" s="52">
        <v>20046.560000000001</v>
      </c>
      <c r="I30" s="52">
        <v>12025.18</v>
      </c>
      <c r="J30" s="52">
        <v>3327.48</v>
      </c>
      <c r="K30" s="52"/>
      <c r="L30" s="52">
        <v>-19828.02</v>
      </c>
      <c r="M30" s="52">
        <v>5589.15</v>
      </c>
      <c r="N30" s="52">
        <v>6621.81</v>
      </c>
      <c r="O30" s="52">
        <v>23325.37</v>
      </c>
      <c r="P30" s="52">
        <v>84400.61</v>
      </c>
      <c r="Q30" s="52">
        <v>1712.85</v>
      </c>
      <c r="R30" s="52">
        <v>25604.74</v>
      </c>
      <c r="S30" s="52">
        <v>-9331.8799999999992</v>
      </c>
      <c r="T30" s="52">
        <v>64725.36</v>
      </c>
      <c r="U30" s="52"/>
      <c r="V30" s="52">
        <v>4071.9</v>
      </c>
      <c r="W30" s="52">
        <v>48933.13</v>
      </c>
      <c r="X30" s="52"/>
      <c r="Y30" s="52">
        <v>29121.66</v>
      </c>
      <c r="Z30" s="52">
        <v>15921.15</v>
      </c>
      <c r="AA30" s="52">
        <v>0</v>
      </c>
      <c r="AB30" s="52">
        <v>357141.27</v>
      </c>
    </row>
    <row r="31" spans="1:28" x14ac:dyDescent="0.25">
      <c r="A31" s="51">
        <v>6045</v>
      </c>
      <c r="B31" s="52"/>
      <c r="C31" s="52">
        <v>34164.400000000001</v>
      </c>
      <c r="D31" s="52">
        <v>34862.67</v>
      </c>
      <c r="E31" s="52">
        <v>62514.95</v>
      </c>
      <c r="F31" s="52">
        <v>71697.61</v>
      </c>
      <c r="G31" s="52"/>
      <c r="H31" s="52">
        <v>46924.4</v>
      </c>
      <c r="I31" s="52">
        <v>68437.22</v>
      </c>
      <c r="J31" s="52">
        <v>9495.75</v>
      </c>
      <c r="K31" s="52"/>
      <c r="L31" s="52">
        <v>15941.77</v>
      </c>
      <c r="M31" s="52">
        <v>15240.23</v>
      </c>
      <c r="N31" s="52">
        <v>89760.45</v>
      </c>
      <c r="O31" s="52">
        <v>92342.87</v>
      </c>
      <c r="P31" s="52">
        <v>311856.07</v>
      </c>
      <c r="Q31" s="52">
        <v>13017.61</v>
      </c>
      <c r="R31" s="52">
        <v>73595.27</v>
      </c>
      <c r="S31" s="52">
        <v>7959.5</v>
      </c>
      <c r="T31" s="52">
        <v>310623.32</v>
      </c>
      <c r="U31" s="52"/>
      <c r="V31" s="52">
        <v>9190.24</v>
      </c>
      <c r="W31" s="52">
        <v>638242.04</v>
      </c>
      <c r="X31" s="52"/>
      <c r="Y31" s="52">
        <v>163984.17000000001</v>
      </c>
      <c r="Z31" s="52">
        <v>95048.72</v>
      </c>
      <c r="AA31" s="52">
        <v>24210.02</v>
      </c>
      <c r="AB31" s="52">
        <v>2189109.2800000003</v>
      </c>
    </row>
    <row r="32" spans="1:28" x14ac:dyDescent="0.25">
      <c r="A32" s="51">
        <v>6050</v>
      </c>
      <c r="B32" s="52">
        <v>2590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>
        <v>0</v>
      </c>
      <c r="AB32" s="52">
        <v>2590</v>
      </c>
    </row>
    <row r="33" spans="1:28" x14ac:dyDescent="0.25">
      <c r="A33" s="51">
        <v>6065</v>
      </c>
      <c r="B33" s="52"/>
      <c r="C33" s="52"/>
      <c r="D33" s="52"/>
      <c r="E33" s="52">
        <v>2161518.83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>
        <v>0</v>
      </c>
      <c r="AB33" s="52">
        <v>2161518.83</v>
      </c>
    </row>
    <row r="34" spans="1:28" x14ac:dyDescent="0.25">
      <c r="A34" s="51">
        <v>6070</v>
      </c>
      <c r="B34" s="52"/>
      <c r="C34" s="52">
        <v>165.19</v>
      </c>
      <c r="D34" s="52"/>
      <c r="E34" s="52">
        <v>2848232.25</v>
      </c>
      <c r="F34" s="52"/>
      <c r="G34" s="52"/>
      <c r="H34" s="52"/>
      <c r="I34" s="52">
        <v>2933.97</v>
      </c>
      <c r="J34" s="52"/>
      <c r="K34" s="52"/>
      <c r="L34" s="52"/>
      <c r="M34" s="52">
        <v>2499.83</v>
      </c>
      <c r="N34" s="52">
        <v>248.47</v>
      </c>
      <c r="O34" s="52">
        <v>811.69</v>
      </c>
      <c r="P34" s="52">
        <v>17718.47</v>
      </c>
      <c r="Q34" s="52"/>
      <c r="R34" s="52">
        <v>12.23</v>
      </c>
      <c r="S34" s="52"/>
      <c r="T34" s="52"/>
      <c r="U34" s="52"/>
      <c r="V34" s="52"/>
      <c r="W34" s="52"/>
      <c r="X34" s="52"/>
      <c r="Y34" s="52"/>
      <c r="Z34" s="52"/>
      <c r="AA34" s="52">
        <v>0</v>
      </c>
      <c r="AB34" s="52">
        <v>2872622.1000000006</v>
      </c>
    </row>
    <row r="35" spans="1:28" x14ac:dyDescent="0.25">
      <c r="A35" s="51">
        <v>6074</v>
      </c>
      <c r="B35" s="52"/>
      <c r="C35" s="52"/>
      <c r="D35" s="52"/>
      <c r="E35" s="52">
        <v>10530.37</v>
      </c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>
        <v>0</v>
      </c>
      <c r="AB35" s="52">
        <v>10530.37</v>
      </c>
    </row>
    <row r="36" spans="1:28" x14ac:dyDescent="0.25">
      <c r="A36" s="51">
        <v>6080</v>
      </c>
      <c r="B36" s="52"/>
      <c r="C36" s="52"/>
      <c r="D36" s="52"/>
      <c r="E36" s="52">
        <v>1566</v>
      </c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>
        <v>0</v>
      </c>
      <c r="AB36" s="52">
        <v>1566</v>
      </c>
    </row>
    <row r="37" spans="1:28" x14ac:dyDescent="0.25">
      <c r="A37" s="51">
        <v>6082</v>
      </c>
      <c r="B37" s="52"/>
      <c r="C37" s="52">
        <v>6522.95</v>
      </c>
      <c r="D37" s="52"/>
      <c r="E37" s="52">
        <v>62.97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>
        <v>0</v>
      </c>
      <c r="AB37" s="52">
        <v>6585.92</v>
      </c>
    </row>
    <row r="38" spans="1:28" x14ac:dyDescent="0.25">
      <c r="A38" s="51">
        <v>6083</v>
      </c>
      <c r="B38" s="52"/>
      <c r="C38" s="52">
        <v>4954.88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>
        <v>0</v>
      </c>
      <c r="AB38" s="52">
        <v>4954.88</v>
      </c>
    </row>
    <row r="39" spans="1:28" x14ac:dyDescent="0.25">
      <c r="A39" s="51">
        <v>6100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>
        <v>78.27</v>
      </c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>
        <v>0</v>
      </c>
      <c r="AB39" s="52">
        <v>78.27</v>
      </c>
    </row>
    <row r="40" spans="1:28" x14ac:dyDescent="0.25">
      <c r="A40" s="51">
        <v>6200</v>
      </c>
      <c r="B40" s="52">
        <v>-8065.09</v>
      </c>
      <c r="C40" s="52">
        <v>822912.67</v>
      </c>
      <c r="D40" s="52">
        <v>1720</v>
      </c>
      <c r="E40" s="52">
        <v>14130.5</v>
      </c>
      <c r="F40" s="52">
        <v>22089.3</v>
      </c>
      <c r="G40" s="52">
        <v>11500</v>
      </c>
      <c r="H40" s="52">
        <v>54748</v>
      </c>
      <c r="I40" s="52">
        <v>694421.57</v>
      </c>
      <c r="J40" s="52"/>
      <c r="K40" s="52">
        <v>1414549.5</v>
      </c>
      <c r="L40" s="52"/>
      <c r="M40" s="52"/>
      <c r="N40" s="52">
        <v>50682</v>
      </c>
      <c r="O40" s="52">
        <v>7158.05</v>
      </c>
      <c r="P40" s="52">
        <v>79533</v>
      </c>
      <c r="Q40" s="52"/>
      <c r="R40" s="52">
        <v>2560</v>
      </c>
      <c r="S40" s="52"/>
      <c r="T40" s="52">
        <v>233226.11</v>
      </c>
      <c r="U40" s="52"/>
      <c r="V40" s="52"/>
      <c r="W40" s="52"/>
      <c r="X40" s="52"/>
      <c r="Y40" s="52">
        <v>1789073.5</v>
      </c>
      <c r="Z40" s="52"/>
      <c r="AA40" s="52">
        <v>-27.6</v>
      </c>
      <c r="AB40" s="52">
        <v>5190211.51</v>
      </c>
    </row>
    <row r="41" spans="1:28" x14ac:dyDescent="0.25">
      <c r="A41" s="51">
        <v>6250</v>
      </c>
      <c r="B41" s="52"/>
      <c r="C41" s="52">
        <v>1050000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>
        <v>0</v>
      </c>
      <c r="AB41" s="52">
        <v>1050000</v>
      </c>
    </row>
    <row r="42" spans="1:28" x14ac:dyDescent="0.25">
      <c r="A42" s="51">
        <v>6300</v>
      </c>
      <c r="B42" s="52"/>
      <c r="C42" s="52"/>
      <c r="D42" s="52">
        <v>34585.72</v>
      </c>
      <c r="E42" s="52">
        <v>105921.85</v>
      </c>
      <c r="F42" s="52"/>
      <c r="G42" s="52"/>
      <c r="H42" s="52"/>
      <c r="I42" s="52"/>
      <c r="J42" s="52"/>
      <c r="K42" s="52"/>
      <c r="L42" s="52"/>
      <c r="M42" s="52">
        <v>3200</v>
      </c>
      <c r="N42" s="52">
        <v>112</v>
      </c>
      <c r="O42" s="52"/>
      <c r="P42" s="52">
        <v>43694.76</v>
      </c>
      <c r="Q42" s="52"/>
      <c r="R42" s="52">
        <v>-2492.63</v>
      </c>
      <c r="S42" s="52"/>
      <c r="T42" s="52"/>
      <c r="U42" s="52"/>
      <c r="V42" s="52"/>
      <c r="W42" s="52"/>
      <c r="X42" s="52"/>
      <c r="Y42" s="52"/>
      <c r="Z42" s="52"/>
      <c r="AA42" s="52">
        <v>0</v>
      </c>
      <c r="AB42" s="52">
        <v>185021.7</v>
      </c>
    </row>
    <row r="43" spans="1:28" x14ac:dyDescent="0.25">
      <c r="A43" s="51">
        <v>6305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>
        <v>-3137.38</v>
      </c>
      <c r="S43" s="52"/>
      <c r="T43" s="52"/>
      <c r="U43" s="52"/>
      <c r="V43" s="52"/>
      <c r="W43" s="52"/>
      <c r="X43" s="52"/>
      <c r="Y43" s="52"/>
      <c r="Z43" s="52"/>
      <c r="AA43" s="52">
        <v>0</v>
      </c>
      <c r="AB43" s="52">
        <v>-3137.38</v>
      </c>
    </row>
    <row r="44" spans="1:28" x14ac:dyDescent="0.25">
      <c r="A44" s="51">
        <v>7100</v>
      </c>
      <c r="B44" s="52">
        <v>6039.96</v>
      </c>
      <c r="C44" s="52">
        <v>1470.16</v>
      </c>
      <c r="D44" s="52"/>
      <c r="E44" s="52">
        <v>3444.96</v>
      </c>
      <c r="F44" s="52"/>
      <c r="G44" s="52"/>
      <c r="H44" s="52">
        <v>307424.75</v>
      </c>
      <c r="I44" s="52">
        <v>2016908.69</v>
      </c>
      <c r="J44" s="52"/>
      <c r="K44" s="52"/>
      <c r="L44" s="52"/>
      <c r="M44" s="52">
        <v>15595.52</v>
      </c>
      <c r="N44" s="52">
        <v>279005.15000000002</v>
      </c>
      <c r="O44" s="52">
        <v>11490.68</v>
      </c>
      <c r="P44" s="52">
        <v>1426762.67</v>
      </c>
      <c r="Q44" s="52">
        <v>53581.86</v>
      </c>
      <c r="R44" s="52"/>
      <c r="S44" s="52"/>
      <c r="T44" s="52">
        <v>471639.76</v>
      </c>
      <c r="U44" s="52">
        <v>48189.22</v>
      </c>
      <c r="V44" s="52">
        <v>75436.009999999995</v>
      </c>
      <c r="W44" s="52">
        <v>345282.49</v>
      </c>
      <c r="X44" s="52">
        <v>502641.24</v>
      </c>
      <c r="Y44" s="52"/>
      <c r="Z44" s="52">
        <v>8001.24</v>
      </c>
      <c r="AA44" s="52">
        <v>0</v>
      </c>
      <c r="AB44" s="52">
        <v>5572914.3600000003</v>
      </c>
    </row>
    <row r="45" spans="1:28" x14ac:dyDescent="0.25">
      <c r="A45" s="51">
        <v>7150</v>
      </c>
      <c r="B45" s="52"/>
      <c r="C45" s="52"/>
      <c r="D45" s="52"/>
      <c r="E45" s="52"/>
      <c r="F45" s="52"/>
      <c r="G45" s="52"/>
      <c r="H45" s="52">
        <v>7424.17</v>
      </c>
      <c r="I45" s="52">
        <v>823344.84</v>
      </c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>
        <v>3750.22</v>
      </c>
      <c r="X45" s="52">
        <v>14127.5</v>
      </c>
      <c r="Y45" s="52"/>
      <c r="Z45" s="52"/>
      <c r="AA45" s="52">
        <v>0</v>
      </c>
      <c r="AB45" s="52">
        <v>848646.73</v>
      </c>
    </row>
    <row r="46" spans="1:28" x14ac:dyDescent="0.25">
      <c r="A46" s="51">
        <v>7500</v>
      </c>
      <c r="B46" s="52"/>
      <c r="C46" s="52">
        <v>3643.55</v>
      </c>
      <c r="D46" s="52"/>
      <c r="E46" s="52"/>
      <c r="F46" s="52">
        <v>951.07</v>
      </c>
      <c r="G46" s="52"/>
      <c r="H46" s="52">
        <v>-0.06</v>
      </c>
      <c r="I46" s="52">
        <v>236559.87</v>
      </c>
      <c r="J46" s="52"/>
      <c r="K46" s="52"/>
      <c r="L46" s="52"/>
      <c r="M46" s="52">
        <v>3971.78</v>
      </c>
      <c r="N46" s="52">
        <v>12240.07</v>
      </c>
      <c r="O46" s="52">
        <v>2218.08</v>
      </c>
      <c r="P46" s="52">
        <v>2661.55</v>
      </c>
      <c r="Q46" s="52"/>
      <c r="R46" s="52">
        <v>12347.19</v>
      </c>
      <c r="S46" s="52"/>
      <c r="T46" s="52">
        <v>11288.49</v>
      </c>
      <c r="U46" s="52"/>
      <c r="V46" s="52"/>
      <c r="W46" s="52"/>
      <c r="X46" s="52"/>
      <c r="Y46" s="52"/>
      <c r="Z46" s="52"/>
      <c r="AA46" s="52">
        <v>0</v>
      </c>
      <c r="AB46" s="52">
        <v>285881.58999999997</v>
      </c>
    </row>
    <row r="47" spans="1:28" x14ac:dyDescent="0.25">
      <c r="A47" s="51">
        <v>7505</v>
      </c>
      <c r="B47" s="52"/>
      <c r="C47" s="52"/>
      <c r="D47" s="52"/>
      <c r="E47" s="52"/>
      <c r="F47" s="52"/>
      <c r="G47" s="52"/>
      <c r="H47" s="52"/>
      <c r="I47" s="52">
        <v>1252135.54</v>
      </c>
      <c r="J47" s="52"/>
      <c r="K47" s="52"/>
      <c r="L47" s="52"/>
      <c r="M47" s="52">
        <v>141627.69</v>
      </c>
      <c r="N47" s="52">
        <v>216000</v>
      </c>
      <c r="O47" s="52"/>
      <c r="P47" s="52">
        <v>1298273.98</v>
      </c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>
        <v>0</v>
      </c>
      <c r="AB47" s="52">
        <v>2908037.21</v>
      </c>
    </row>
    <row r="48" spans="1:28" x14ac:dyDescent="0.25">
      <c r="A48" s="51">
        <v>7515</v>
      </c>
      <c r="B48" s="52"/>
      <c r="C48" s="52"/>
      <c r="D48" s="52"/>
      <c r="E48" s="52"/>
      <c r="F48" s="52"/>
      <c r="G48" s="52"/>
      <c r="H48" s="52"/>
      <c r="I48" s="52">
        <v>7074.9</v>
      </c>
      <c r="J48" s="52"/>
      <c r="K48" s="52"/>
      <c r="L48" s="52"/>
      <c r="M48" s="52"/>
      <c r="N48" s="52">
        <v>76722.89</v>
      </c>
      <c r="O48" s="52"/>
      <c r="P48" s="52">
        <v>567018.75</v>
      </c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>
        <v>0</v>
      </c>
      <c r="AB48" s="52">
        <v>650816.54</v>
      </c>
    </row>
    <row r="49" spans="1:28" x14ac:dyDescent="0.25">
      <c r="A49" s="51">
        <v>7520</v>
      </c>
      <c r="B49" s="52"/>
      <c r="C49" s="52"/>
      <c r="D49" s="52"/>
      <c r="E49" s="52"/>
      <c r="F49" s="52"/>
      <c r="G49" s="52"/>
      <c r="H49" s="52"/>
      <c r="I49" s="52">
        <v>88600.12</v>
      </c>
      <c r="J49" s="52"/>
      <c r="K49" s="52"/>
      <c r="L49" s="52"/>
      <c r="M49" s="52"/>
      <c r="N49" s="52">
        <v>2861</v>
      </c>
      <c r="O49" s="52"/>
      <c r="P49" s="52">
        <v>36902</v>
      </c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>
        <v>0</v>
      </c>
      <c r="AB49" s="52">
        <v>128363.12</v>
      </c>
    </row>
    <row r="50" spans="1:28" x14ac:dyDescent="0.25">
      <c r="A50" s="51">
        <v>7525</v>
      </c>
      <c r="B50" s="52"/>
      <c r="C50" s="52"/>
      <c r="D50" s="52"/>
      <c r="E50" s="52"/>
      <c r="F50" s="52"/>
      <c r="G50" s="52"/>
      <c r="H50" s="52"/>
      <c r="I50" s="52">
        <v>23806.78</v>
      </c>
      <c r="J50" s="52"/>
      <c r="K50" s="52"/>
      <c r="L50" s="52"/>
      <c r="M50" s="52">
        <v>2392.17</v>
      </c>
      <c r="N50" s="52">
        <v>3848</v>
      </c>
      <c r="O50" s="52"/>
      <c r="P50" s="52">
        <v>2905.8</v>
      </c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>
        <v>0</v>
      </c>
      <c r="AB50" s="52">
        <v>32952.75</v>
      </c>
    </row>
    <row r="51" spans="1:28" x14ac:dyDescent="0.25">
      <c r="A51" s="51">
        <v>7530</v>
      </c>
      <c r="B51" s="52"/>
      <c r="C51" s="52"/>
      <c r="D51" s="52"/>
      <c r="E51" s="52"/>
      <c r="F51" s="52"/>
      <c r="G51" s="52"/>
      <c r="H51" s="52"/>
      <c r="I51" s="52">
        <v>1253287.67</v>
      </c>
      <c r="J51" s="52"/>
      <c r="K51" s="52"/>
      <c r="L51" s="52"/>
      <c r="M51" s="52">
        <v>2955.34</v>
      </c>
      <c r="N51" s="52">
        <v>23070.35</v>
      </c>
      <c r="O51" s="52">
        <v>6504.12</v>
      </c>
      <c r="P51" s="52">
        <v>1619043.71</v>
      </c>
      <c r="Q51" s="52"/>
      <c r="R51" s="52"/>
      <c r="S51" s="52"/>
      <c r="T51" s="52">
        <v>240</v>
      </c>
      <c r="U51" s="52"/>
      <c r="V51" s="52"/>
      <c r="W51" s="52"/>
      <c r="X51" s="52"/>
      <c r="Y51" s="52"/>
      <c r="Z51" s="52"/>
      <c r="AA51" s="52">
        <v>0</v>
      </c>
      <c r="AB51" s="52">
        <v>2905101.1900000004</v>
      </c>
    </row>
    <row r="52" spans="1:28" x14ac:dyDescent="0.25">
      <c r="A52" s="51">
        <v>7531</v>
      </c>
      <c r="B52" s="52"/>
      <c r="C52" s="52"/>
      <c r="D52" s="52"/>
      <c r="E52" s="52"/>
      <c r="F52" s="52"/>
      <c r="G52" s="52"/>
      <c r="H52" s="52">
        <v>9758.86</v>
      </c>
      <c r="I52" s="52">
        <v>23749.42</v>
      </c>
      <c r="J52" s="52"/>
      <c r="K52" s="52"/>
      <c r="L52" s="52"/>
      <c r="M52" s="52">
        <v>4514.17</v>
      </c>
      <c r="N52" s="52">
        <v>5597.44</v>
      </c>
      <c r="O52" s="52">
        <v>7777.84</v>
      </c>
      <c r="P52" s="52">
        <v>11040.67</v>
      </c>
      <c r="Q52" s="52"/>
      <c r="R52" s="52">
        <v>1395</v>
      </c>
      <c r="S52" s="52"/>
      <c r="T52" s="52"/>
      <c r="U52" s="52"/>
      <c r="V52" s="52"/>
      <c r="W52" s="52">
        <v>500.59</v>
      </c>
      <c r="X52" s="52"/>
      <c r="Y52" s="52"/>
      <c r="Z52" s="52"/>
      <c r="AA52" s="52">
        <v>-172.82</v>
      </c>
      <c r="AB52" s="52">
        <v>64161.169999999991</v>
      </c>
    </row>
    <row r="53" spans="1:28" x14ac:dyDescent="0.25">
      <c r="A53" s="51">
        <v>7532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>
        <v>-9.76</v>
      </c>
      <c r="U53" s="52"/>
      <c r="V53" s="52"/>
      <c r="W53" s="52"/>
      <c r="X53" s="52"/>
      <c r="Y53" s="52"/>
      <c r="Z53" s="52"/>
      <c r="AA53" s="52">
        <v>0</v>
      </c>
      <c r="AB53" s="52">
        <v>-9.76</v>
      </c>
    </row>
    <row r="54" spans="1:28" x14ac:dyDescent="0.25">
      <c r="A54" s="51">
        <v>7535</v>
      </c>
      <c r="B54" s="52"/>
      <c r="C54" s="52"/>
      <c r="D54" s="52"/>
      <c r="E54" s="52"/>
      <c r="F54" s="52"/>
      <c r="G54" s="52"/>
      <c r="H54" s="52"/>
      <c r="I54" s="52">
        <v>45038.720000000001</v>
      </c>
      <c r="J54" s="52"/>
      <c r="K54" s="52"/>
      <c r="L54" s="52"/>
      <c r="M54" s="52">
        <v>550</v>
      </c>
      <c r="N54" s="52">
        <v>401</v>
      </c>
      <c r="O54" s="52"/>
      <c r="P54" s="52">
        <v>2589</v>
      </c>
      <c r="Q54" s="52"/>
      <c r="R54" s="52"/>
      <c r="S54" s="52"/>
      <c r="T54" s="52"/>
      <c r="U54" s="52"/>
      <c r="V54" s="52"/>
      <c r="W54" s="52"/>
      <c r="X54" s="52">
        <v>38</v>
      </c>
      <c r="Y54" s="52"/>
      <c r="Z54" s="52"/>
      <c r="AA54" s="52">
        <v>0</v>
      </c>
      <c r="AB54" s="52">
        <v>48616.72</v>
      </c>
    </row>
    <row r="55" spans="1:28" x14ac:dyDescent="0.25">
      <c r="A55" s="51">
        <v>7540</v>
      </c>
      <c r="B55" s="52"/>
      <c r="C55" s="52"/>
      <c r="D55" s="52"/>
      <c r="E55" s="52"/>
      <c r="F55" s="52"/>
      <c r="G55" s="52"/>
      <c r="H55" s="52">
        <v>1944.7</v>
      </c>
      <c r="I55" s="52">
        <v>44752.5</v>
      </c>
      <c r="J55" s="52"/>
      <c r="K55" s="52"/>
      <c r="L55" s="52"/>
      <c r="M55" s="52">
        <v>11.96</v>
      </c>
      <c r="N55" s="52">
        <v>27764.12</v>
      </c>
      <c r="O55" s="52"/>
      <c r="P55" s="52">
        <v>39049.360000000001</v>
      </c>
      <c r="Q55" s="52"/>
      <c r="R55" s="52">
        <v>18.23</v>
      </c>
      <c r="S55" s="52"/>
      <c r="T55" s="52"/>
      <c r="U55" s="52"/>
      <c r="V55" s="52"/>
      <c r="W55" s="52"/>
      <c r="X55" s="52"/>
      <c r="Y55" s="52">
        <v>1710.77</v>
      </c>
      <c r="Z55" s="52"/>
      <c r="AA55" s="52">
        <v>0</v>
      </c>
      <c r="AB55" s="52">
        <v>115251.64</v>
      </c>
    </row>
    <row r="56" spans="1:28" x14ac:dyDescent="0.25">
      <c r="A56" s="51">
        <v>7550</v>
      </c>
      <c r="B56" s="52"/>
      <c r="C56" s="52"/>
      <c r="D56" s="52"/>
      <c r="E56" s="52"/>
      <c r="F56" s="52"/>
      <c r="G56" s="52"/>
      <c r="H56" s="52"/>
      <c r="I56" s="52">
        <v>139884.10999999999</v>
      </c>
      <c r="J56" s="52"/>
      <c r="K56" s="52"/>
      <c r="L56" s="52"/>
      <c r="M56" s="52"/>
      <c r="N56" s="52">
        <v>2163.1799999999998</v>
      </c>
      <c r="O56" s="52"/>
      <c r="P56" s="52">
        <v>55496.99</v>
      </c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>
        <v>0</v>
      </c>
      <c r="AB56" s="52">
        <v>197544.27999999997</v>
      </c>
    </row>
    <row r="57" spans="1:28" x14ac:dyDescent="0.25">
      <c r="A57" s="51">
        <v>7555</v>
      </c>
      <c r="B57" s="52"/>
      <c r="C57" s="52"/>
      <c r="D57" s="52"/>
      <c r="E57" s="52"/>
      <c r="F57" s="52"/>
      <c r="G57" s="52"/>
      <c r="H57" s="52"/>
      <c r="I57" s="52">
        <v>12030.83</v>
      </c>
      <c r="J57" s="52"/>
      <c r="K57" s="52"/>
      <c r="L57" s="52"/>
      <c r="M57" s="52"/>
      <c r="N57" s="52">
        <v>7219.14</v>
      </c>
      <c r="O57" s="52">
        <v>4390.75</v>
      </c>
      <c r="P57" s="52">
        <v>12989.59</v>
      </c>
      <c r="Q57" s="52"/>
      <c r="R57" s="52">
        <v>1522.5</v>
      </c>
      <c r="S57" s="52"/>
      <c r="T57" s="52"/>
      <c r="U57" s="52"/>
      <c r="V57" s="52"/>
      <c r="W57" s="52">
        <v>13860</v>
      </c>
      <c r="X57" s="52"/>
      <c r="Y57" s="52"/>
      <c r="Z57" s="52"/>
      <c r="AA57" s="52">
        <v>0</v>
      </c>
      <c r="AB57" s="52">
        <v>52012.81</v>
      </c>
    </row>
    <row r="58" spans="1:28" x14ac:dyDescent="0.25">
      <c r="A58" s="51">
        <v>7561</v>
      </c>
      <c r="B58" s="52"/>
      <c r="C58" s="52"/>
      <c r="D58" s="52"/>
      <c r="E58" s="52"/>
      <c r="F58" s="52"/>
      <c r="G58" s="52"/>
      <c r="H58" s="52"/>
      <c r="I58" s="52">
        <v>11176.26</v>
      </c>
      <c r="J58" s="52"/>
      <c r="K58" s="52"/>
      <c r="L58" s="52"/>
      <c r="M58" s="52">
        <v>421.51</v>
      </c>
      <c r="N58" s="52">
        <v>11088.13</v>
      </c>
      <c r="O58" s="52"/>
      <c r="P58" s="52">
        <v>15098.38</v>
      </c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>
        <v>0</v>
      </c>
      <c r="AB58" s="52">
        <v>37784.28</v>
      </c>
    </row>
    <row r="59" spans="1:28" x14ac:dyDescent="0.25">
      <c r="A59" s="51">
        <v>7800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>
        <v>38226.620000000003</v>
      </c>
      <c r="O59" s="52">
        <v>143504.23000000001</v>
      </c>
      <c r="P59" s="52">
        <v>10527.66</v>
      </c>
      <c r="Q59" s="52"/>
      <c r="R59" s="52">
        <v>8978.7199999999993</v>
      </c>
      <c r="S59" s="52"/>
      <c r="T59" s="52">
        <v>919020.64</v>
      </c>
      <c r="U59" s="52"/>
      <c r="V59" s="52">
        <v>30954.1</v>
      </c>
      <c r="W59" s="52">
        <v>667383.11</v>
      </c>
      <c r="X59" s="52">
        <v>2384978.46</v>
      </c>
      <c r="Y59" s="52">
        <v>14204.57</v>
      </c>
      <c r="Z59" s="52"/>
      <c r="AA59" s="52">
        <v>-306.02</v>
      </c>
      <c r="AB59" s="52">
        <v>4217472.0900000008</v>
      </c>
    </row>
    <row r="60" spans="1:28" x14ac:dyDescent="0.25">
      <c r="A60" s="51">
        <v>7805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>
        <v>300.13</v>
      </c>
      <c r="O60" s="52"/>
      <c r="P60" s="52"/>
      <c r="Q60" s="52"/>
      <c r="R60" s="52"/>
      <c r="S60" s="52"/>
      <c r="T60" s="52">
        <v>54.26</v>
      </c>
      <c r="U60" s="52"/>
      <c r="V60" s="52"/>
      <c r="W60" s="52"/>
      <c r="X60" s="52"/>
      <c r="Y60" s="52"/>
      <c r="Z60" s="52"/>
      <c r="AA60" s="52">
        <v>0</v>
      </c>
      <c r="AB60" s="52">
        <v>354.39</v>
      </c>
    </row>
    <row r="61" spans="1:28" x14ac:dyDescent="0.25">
      <c r="A61" s="51">
        <v>7815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>
        <v>219.85</v>
      </c>
      <c r="O61" s="52"/>
      <c r="P61" s="52"/>
      <c r="Q61" s="52"/>
      <c r="R61" s="52">
        <v>13.12</v>
      </c>
      <c r="S61" s="52"/>
      <c r="T61" s="52"/>
      <c r="U61" s="52"/>
      <c r="V61" s="52"/>
      <c r="W61" s="52"/>
      <c r="X61" s="52"/>
      <c r="Y61" s="52"/>
      <c r="Z61" s="52"/>
      <c r="AA61" s="52">
        <v>0</v>
      </c>
      <c r="AB61" s="52">
        <v>232.97</v>
      </c>
    </row>
    <row r="62" spans="1:28" x14ac:dyDescent="0.25">
      <c r="A62" s="51">
        <v>7825</v>
      </c>
      <c r="B62" s="52"/>
      <c r="C62" s="52"/>
      <c r="D62" s="52"/>
      <c r="E62" s="52"/>
      <c r="F62" s="52"/>
      <c r="G62" s="52"/>
      <c r="H62" s="52"/>
      <c r="I62" s="52">
        <v>538.58000000000004</v>
      </c>
      <c r="J62" s="52"/>
      <c r="K62" s="52"/>
      <c r="L62" s="52"/>
      <c r="M62" s="52">
        <v>1731.48</v>
      </c>
      <c r="N62" s="52">
        <v>1334.37</v>
      </c>
      <c r="O62" s="52">
        <v>3445.14</v>
      </c>
      <c r="P62" s="52">
        <v>27575.360000000001</v>
      </c>
      <c r="Q62" s="52"/>
      <c r="R62" s="52"/>
      <c r="S62" s="52"/>
      <c r="T62" s="52">
        <v>1108121.8899999999</v>
      </c>
      <c r="U62" s="52"/>
      <c r="V62" s="52"/>
      <c r="W62" s="52">
        <v>45234.18</v>
      </c>
      <c r="X62" s="52">
        <v>567.89</v>
      </c>
      <c r="Y62" s="52">
        <v>60.25</v>
      </c>
      <c r="Z62" s="52"/>
      <c r="AA62" s="52">
        <v>245.84</v>
      </c>
      <c r="AB62" s="52">
        <v>1188854.9799999997</v>
      </c>
    </row>
    <row r="63" spans="1:28" x14ac:dyDescent="0.25">
      <c r="A63" s="51">
        <v>7830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>
        <v>60300.4</v>
      </c>
      <c r="U63" s="52"/>
      <c r="V63" s="52"/>
      <c r="W63" s="52"/>
      <c r="X63" s="52"/>
      <c r="Y63" s="52">
        <v>6496.4</v>
      </c>
      <c r="Z63" s="52"/>
      <c r="AA63" s="52">
        <v>0</v>
      </c>
      <c r="AB63" s="52">
        <v>66796.800000000003</v>
      </c>
    </row>
    <row r="64" spans="1:28" x14ac:dyDescent="0.25">
      <c r="A64" s="51">
        <v>7831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>
        <v>-114.37</v>
      </c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>
        <v>0</v>
      </c>
      <c r="AB64" s="52">
        <v>-114.37</v>
      </c>
    </row>
    <row r="65" spans="1:28" x14ac:dyDescent="0.25">
      <c r="A65" s="51">
        <v>7832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>
        <v>-41.91</v>
      </c>
      <c r="Q65" s="52">
        <v>130.5</v>
      </c>
      <c r="R65" s="52"/>
      <c r="S65" s="52"/>
      <c r="T65" s="52">
        <v>30259.33</v>
      </c>
      <c r="U65" s="52"/>
      <c r="V65" s="52"/>
      <c r="W65" s="52"/>
      <c r="X65" s="52"/>
      <c r="Y65" s="52"/>
      <c r="Z65" s="52"/>
      <c r="AA65" s="52">
        <v>0</v>
      </c>
      <c r="AB65" s="52">
        <v>30347.920000000002</v>
      </c>
    </row>
    <row r="66" spans="1:28" x14ac:dyDescent="0.25">
      <c r="A66" s="51">
        <v>7835</v>
      </c>
      <c r="B66" s="52"/>
      <c r="C66" s="52"/>
      <c r="D66" s="52"/>
      <c r="E66" s="52"/>
      <c r="F66" s="52"/>
      <c r="G66" s="52"/>
      <c r="H66" s="52">
        <v>2277.69</v>
      </c>
      <c r="I66" s="52"/>
      <c r="J66" s="52"/>
      <c r="K66" s="52"/>
      <c r="L66" s="52"/>
      <c r="M66" s="52"/>
      <c r="N66" s="52"/>
      <c r="O66" s="52">
        <v>152.32</v>
      </c>
      <c r="P66" s="52"/>
      <c r="Q66" s="52">
        <v>8612.19</v>
      </c>
      <c r="R66" s="52"/>
      <c r="S66" s="52"/>
      <c r="T66" s="52">
        <v>293.38</v>
      </c>
      <c r="U66" s="52"/>
      <c r="V66" s="52">
        <v>7990.29</v>
      </c>
      <c r="W66" s="52"/>
      <c r="X66" s="52"/>
      <c r="Y66" s="52"/>
      <c r="Z66" s="52"/>
      <c r="AA66" s="52">
        <v>0</v>
      </c>
      <c r="AB66" s="52">
        <v>19325.87</v>
      </c>
    </row>
    <row r="67" spans="1:28" x14ac:dyDescent="0.25">
      <c r="A67" s="51">
        <v>7836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>
        <v>311.64999999999998</v>
      </c>
      <c r="Y67" s="52"/>
      <c r="Z67" s="52"/>
      <c r="AA67" s="52">
        <v>0</v>
      </c>
      <c r="AB67" s="52">
        <v>311.64999999999998</v>
      </c>
    </row>
    <row r="68" spans="1:28" x14ac:dyDescent="0.25">
      <c r="A68" s="51">
        <v>7840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>
        <v>693972.78</v>
      </c>
      <c r="O68" s="52">
        <v>54644.88</v>
      </c>
      <c r="P68" s="52">
        <v>14.67</v>
      </c>
      <c r="Q68" s="52"/>
      <c r="R68" s="52"/>
      <c r="S68" s="52"/>
      <c r="T68" s="52">
        <v>2785.17</v>
      </c>
      <c r="U68" s="52"/>
      <c r="V68" s="52"/>
      <c r="W68" s="52">
        <v>234277.3</v>
      </c>
      <c r="X68" s="52">
        <v>582244.6</v>
      </c>
      <c r="Y68" s="52"/>
      <c r="Z68" s="52"/>
      <c r="AA68" s="52">
        <v>0</v>
      </c>
      <c r="AB68" s="52">
        <v>1567939.4</v>
      </c>
    </row>
    <row r="69" spans="1:28" x14ac:dyDescent="0.25">
      <c r="A69" s="51">
        <v>7845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>
        <v>46981.66</v>
      </c>
      <c r="P69" s="52"/>
      <c r="Q69" s="52"/>
      <c r="R69" s="52"/>
      <c r="S69" s="52"/>
      <c r="T69" s="52"/>
      <c r="U69" s="52"/>
      <c r="V69" s="52"/>
      <c r="W69" s="52">
        <v>152564.01999999999</v>
      </c>
      <c r="X69" s="52">
        <v>59436.38</v>
      </c>
      <c r="Y69" s="52"/>
      <c r="Z69" s="52"/>
      <c r="AA69" s="52">
        <v>0</v>
      </c>
      <c r="AB69" s="52">
        <v>258982.06</v>
      </c>
    </row>
    <row r="70" spans="1:28" x14ac:dyDescent="0.25">
      <c r="A70" s="51">
        <v>7846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>
        <v>38.049999999999997</v>
      </c>
      <c r="N70" s="52">
        <v>25298.78</v>
      </c>
      <c r="O70" s="52">
        <v>13981.84</v>
      </c>
      <c r="P70" s="52"/>
      <c r="Q70" s="52"/>
      <c r="R70" s="52">
        <v>6343.79</v>
      </c>
      <c r="S70" s="52">
        <v>50</v>
      </c>
      <c r="T70" s="52">
        <v>606.24</v>
      </c>
      <c r="U70" s="52">
        <v>600.6</v>
      </c>
      <c r="V70" s="52"/>
      <c r="W70" s="52">
        <v>251054.93</v>
      </c>
      <c r="X70" s="52">
        <v>304278.09000000003</v>
      </c>
      <c r="Y70" s="52"/>
      <c r="Z70" s="52"/>
      <c r="AA70" s="52">
        <v>0</v>
      </c>
      <c r="AB70" s="52">
        <v>602252.32000000007</v>
      </c>
    </row>
    <row r="71" spans="1:28" x14ac:dyDescent="0.25">
      <c r="A71" s="51">
        <v>7847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>
        <v>2981.14</v>
      </c>
      <c r="P71" s="52"/>
      <c r="Q71" s="52"/>
      <c r="R71" s="52"/>
      <c r="S71" s="52"/>
      <c r="T71" s="52"/>
      <c r="U71" s="52"/>
      <c r="V71" s="52"/>
      <c r="W71" s="52">
        <v>17305.37</v>
      </c>
      <c r="X71" s="52">
        <v>5523.45</v>
      </c>
      <c r="Y71" s="52"/>
      <c r="Z71" s="52"/>
      <c r="AA71" s="52">
        <v>0</v>
      </c>
      <c r="AB71" s="52">
        <v>25809.96</v>
      </c>
    </row>
    <row r="72" spans="1:28" x14ac:dyDescent="0.25">
      <c r="A72" s="51">
        <v>7850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>
        <v>1944.97</v>
      </c>
      <c r="U72" s="52"/>
      <c r="V72" s="52"/>
      <c r="W72" s="52"/>
      <c r="X72" s="52">
        <v>519.83000000000004</v>
      </c>
      <c r="Y72" s="52"/>
      <c r="Z72" s="52"/>
      <c r="AA72" s="52">
        <v>0</v>
      </c>
      <c r="AB72" s="52">
        <v>2464.8000000000002</v>
      </c>
    </row>
    <row r="73" spans="1:28" x14ac:dyDescent="0.25">
      <c r="A73" s="51">
        <v>7851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>
        <v>192.54</v>
      </c>
      <c r="O73" s="52"/>
      <c r="P73" s="52"/>
      <c r="Q73" s="52"/>
      <c r="R73" s="52"/>
      <c r="S73" s="52"/>
      <c r="T73" s="52"/>
      <c r="U73" s="52"/>
      <c r="V73" s="52"/>
      <c r="W73" s="52">
        <v>1955.98</v>
      </c>
      <c r="X73" s="52">
        <v>2108.42</v>
      </c>
      <c r="Y73" s="52"/>
      <c r="Z73" s="52"/>
      <c r="AA73" s="52">
        <v>0</v>
      </c>
      <c r="AB73" s="52">
        <v>4256.9400000000005</v>
      </c>
    </row>
    <row r="74" spans="1:28" x14ac:dyDescent="0.25">
      <c r="A74" s="51">
        <v>7855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>
        <v>601</v>
      </c>
      <c r="U74" s="52"/>
      <c r="V74" s="52"/>
      <c r="W74" s="52"/>
      <c r="X74" s="52"/>
      <c r="Y74" s="52"/>
      <c r="Z74" s="52"/>
      <c r="AA74" s="52">
        <v>0</v>
      </c>
      <c r="AB74" s="52">
        <v>601</v>
      </c>
    </row>
    <row r="75" spans="1:28" x14ac:dyDescent="0.25">
      <c r="A75" s="51">
        <v>7865</v>
      </c>
      <c r="B75" s="52"/>
      <c r="C75" s="52"/>
      <c r="D75" s="52"/>
      <c r="E75" s="52"/>
      <c r="F75" s="52"/>
      <c r="G75" s="52"/>
      <c r="H75" s="52">
        <v>49.9</v>
      </c>
      <c r="I75" s="52"/>
      <c r="J75" s="52"/>
      <c r="K75" s="52"/>
      <c r="L75" s="52"/>
      <c r="M75" s="52"/>
      <c r="N75" s="52"/>
      <c r="O75" s="52"/>
      <c r="P75" s="52"/>
      <c r="Q75" s="52"/>
      <c r="R75" s="52">
        <v>1505.9</v>
      </c>
      <c r="S75" s="52"/>
      <c r="T75" s="52"/>
      <c r="U75" s="52"/>
      <c r="V75" s="52"/>
      <c r="W75" s="52"/>
      <c r="X75" s="52"/>
      <c r="Y75" s="52">
        <v>652.5</v>
      </c>
      <c r="Z75" s="52"/>
      <c r="AA75" s="52">
        <v>0</v>
      </c>
      <c r="AB75" s="52">
        <v>2208.3000000000002</v>
      </c>
    </row>
    <row r="76" spans="1:28" x14ac:dyDescent="0.25">
      <c r="A76" s="51">
        <v>7870</v>
      </c>
      <c r="B76" s="52"/>
      <c r="C76" s="52"/>
      <c r="D76" s="52"/>
      <c r="E76" s="52"/>
      <c r="F76" s="52"/>
      <c r="G76" s="52"/>
      <c r="H76" s="52"/>
      <c r="I76" s="52">
        <v>676.55</v>
      </c>
      <c r="J76" s="52"/>
      <c r="K76" s="52"/>
      <c r="L76" s="52"/>
      <c r="M76" s="52">
        <v>-2595.1999999999998</v>
      </c>
      <c r="N76" s="52">
        <v>26342.15</v>
      </c>
      <c r="O76" s="52">
        <v>168.05</v>
      </c>
      <c r="P76" s="52">
        <v>1026.3599999999999</v>
      </c>
      <c r="Q76" s="52"/>
      <c r="R76" s="52">
        <v>402.84</v>
      </c>
      <c r="S76" s="52">
        <v>362.26</v>
      </c>
      <c r="T76" s="52">
        <v>223582.27</v>
      </c>
      <c r="U76" s="52"/>
      <c r="V76" s="52">
        <v>996.91</v>
      </c>
      <c r="W76" s="52">
        <v>212470.96</v>
      </c>
      <c r="X76" s="52">
        <v>45689.15</v>
      </c>
      <c r="Y76" s="52">
        <v>481.4</v>
      </c>
      <c r="Z76" s="52"/>
      <c r="AA76" s="52">
        <v>81.39</v>
      </c>
      <c r="AB76" s="52">
        <v>509685.09000000008</v>
      </c>
    </row>
    <row r="77" spans="1:28" x14ac:dyDescent="0.25">
      <c r="A77" s="51">
        <v>7875</v>
      </c>
      <c r="B77" s="52"/>
      <c r="C77" s="52"/>
      <c r="D77" s="52">
        <v>609.49</v>
      </c>
      <c r="E77" s="52">
        <v>740.83</v>
      </c>
      <c r="F77" s="52"/>
      <c r="G77" s="52"/>
      <c r="H77" s="52">
        <v>306.97000000000003</v>
      </c>
      <c r="I77" s="52">
        <v>2524.1799999999998</v>
      </c>
      <c r="J77" s="52"/>
      <c r="K77" s="52"/>
      <c r="L77" s="52"/>
      <c r="M77" s="52">
        <v>3331.73</v>
      </c>
      <c r="N77" s="52">
        <v>7549.11</v>
      </c>
      <c r="O77" s="52">
        <v>5244.71</v>
      </c>
      <c r="P77" s="52">
        <v>9980.2999999999993</v>
      </c>
      <c r="Q77" s="52">
        <v>8.1</v>
      </c>
      <c r="R77" s="52">
        <v>639.47</v>
      </c>
      <c r="S77" s="52">
        <v>4.5</v>
      </c>
      <c r="T77" s="52">
        <v>15426.74</v>
      </c>
      <c r="U77" s="52">
        <v>40</v>
      </c>
      <c r="V77" s="52">
        <v>91.22</v>
      </c>
      <c r="W77" s="52">
        <v>25012.39</v>
      </c>
      <c r="X77" s="52">
        <v>73252.820000000007</v>
      </c>
      <c r="Y77" s="52">
        <v>114.29</v>
      </c>
      <c r="Z77" s="52">
        <v>26.68</v>
      </c>
      <c r="AA77" s="52">
        <v>726.32</v>
      </c>
      <c r="AB77" s="52">
        <v>145629.85</v>
      </c>
    </row>
    <row r="78" spans="1:28" x14ac:dyDescent="0.25">
      <c r="A78" s="51">
        <v>7999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>
        <v>-645.47</v>
      </c>
      <c r="Q78" s="52"/>
      <c r="R78" s="52"/>
      <c r="S78" s="52"/>
      <c r="T78" s="52">
        <v>1423251.49</v>
      </c>
      <c r="U78" s="52"/>
      <c r="V78" s="52">
        <v>20.420000000000002</v>
      </c>
      <c r="W78" s="52">
        <v>5.51</v>
      </c>
      <c r="X78" s="52"/>
      <c r="Y78" s="52"/>
      <c r="Z78" s="52"/>
      <c r="AA78" s="52">
        <v>-11548.01</v>
      </c>
      <c r="AB78" s="52">
        <v>1411083.94</v>
      </c>
    </row>
    <row r="79" spans="1:28" x14ac:dyDescent="0.25">
      <c r="A79" s="51">
        <v>8000</v>
      </c>
      <c r="B79" s="52"/>
      <c r="C79" s="52">
        <v>5470</v>
      </c>
      <c r="D79" s="52"/>
      <c r="E79" s="52">
        <v>828</v>
      </c>
      <c r="F79" s="52"/>
      <c r="G79" s="52"/>
      <c r="H79" s="52">
        <v>574.98</v>
      </c>
      <c r="I79" s="52"/>
      <c r="J79" s="52"/>
      <c r="K79" s="52"/>
      <c r="L79" s="52"/>
      <c r="M79" s="52"/>
      <c r="N79" s="52"/>
      <c r="O79" s="52"/>
      <c r="P79" s="52">
        <v>1200</v>
      </c>
      <c r="Q79" s="52"/>
      <c r="R79" s="52">
        <v>475.9</v>
      </c>
      <c r="S79" s="52"/>
      <c r="T79" s="52">
        <v>12277.68</v>
      </c>
      <c r="U79" s="52"/>
      <c r="V79" s="52"/>
      <c r="W79" s="52"/>
      <c r="X79" s="52"/>
      <c r="Y79" s="52">
        <v>7715.66</v>
      </c>
      <c r="Z79" s="52">
        <v>908.25</v>
      </c>
      <c r="AA79" s="52">
        <v>0</v>
      </c>
      <c r="AB79" s="52">
        <v>29450.469999999998</v>
      </c>
    </row>
    <row r="80" spans="1:28" x14ac:dyDescent="0.25">
      <c r="A80" s="51">
        <v>8015</v>
      </c>
      <c r="B80" s="52"/>
      <c r="C80" s="52"/>
      <c r="D80" s="52"/>
      <c r="E80" s="52"/>
      <c r="F80" s="52"/>
      <c r="G80" s="52"/>
      <c r="H80" s="52"/>
      <c r="I80" s="52"/>
      <c r="J80" s="52">
        <v>6565813.8700000001</v>
      </c>
      <c r="K80" s="52"/>
      <c r="L80" s="52"/>
      <c r="M80" s="52"/>
      <c r="N80" s="52"/>
      <c r="O80" s="52"/>
      <c r="P80" s="52"/>
      <c r="Q80" s="52"/>
      <c r="R80" s="52"/>
      <c r="S80" s="52"/>
      <c r="T80" s="52">
        <v>193.46</v>
      </c>
      <c r="U80" s="52"/>
      <c r="V80" s="52"/>
      <c r="W80" s="52"/>
      <c r="X80" s="52">
        <v>444.2</v>
      </c>
      <c r="Y80" s="52">
        <v>41.33</v>
      </c>
      <c r="Z80" s="52"/>
      <c r="AA80" s="52">
        <v>0</v>
      </c>
      <c r="AB80" s="52">
        <v>6566492.8600000003</v>
      </c>
    </row>
    <row r="81" spans="1:28" x14ac:dyDescent="0.25">
      <c r="A81" s="51">
        <v>8020</v>
      </c>
      <c r="B81" s="52"/>
      <c r="C81" s="52"/>
      <c r="D81" s="52"/>
      <c r="E81" s="52"/>
      <c r="F81" s="52"/>
      <c r="G81" s="52"/>
      <c r="H81" s="52">
        <v>2092.6</v>
      </c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>
        <v>0</v>
      </c>
      <c r="AB81" s="52">
        <v>2092.6</v>
      </c>
    </row>
    <row r="82" spans="1:28" x14ac:dyDescent="0.25">
      <c r="A82" s="51">
        <v>8030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>
        <v>215.33</v>
      </c>
      <c r="U82" s="52"/>
      <c r="V82" s="52"/>
      <c r="W82" s="52"/>
      <c r="X82" s="52"/>
      <c r="Y82" s="52"/>
      <c r="Z82" s="52"/>
      <c r="AA82" s="52">
        <v>0</v>
      </c>
      <c r="AB82" s="52">
        <v>215.33</v>
      </c>
    </row>
    <row r="83" spans="1:28" x14ac:dyDescent="0.25">
      <c r="A83" s="51">
        <v>8035</v>
      </c>
      <c r="B83" s="52"/>
      <c r="C83" s="52"/>
      <c r="D83" s="52"/>
      <c r="E83" s="52"/>
      <c r="F83" s="52">
        <v>229</v>
      </c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>
        <v>0</v>
      </c>
      <c r="AB83" s="52">
        <v>229</v>
      </c>
    </row>
    <row r="84" spans="1:28" x14ac:dyDescent="0.25">
      <c r="A84" s="51">
        <v>8045</v>
      </c>
      <c r="B84" s="52"/>
      <c r="C84" s="52"/>
      <c r="D84" s="52"/>
      <c r="E84" s="52"/>
      <c r="F84" s="52"/>
      <c r="G84" s="52"/>
      <c r="H84" s="52"/>
      <c r="I84" s="52">
        <v>271.88</v>
      </c>
      <c r="J84" s="52"/>
      <c r="K84" s="52"/>
      <c r="L84" s="52"/>
      <c r="M84" s="52"/>
      <c r="N84" s="52"/>
      <c r="O84" s="52"/>
      <c r="P84" s="52"/>
      <c r="Q84" s="52"/>
      <c r="R84" s="52">
        <v>1614.36</v>
      </c>
      <c r="S84" s="52"/>
      <c r="T84" s="52"/>
      <c r="U84" s="52"/>
      <c r="V84" s="52"/>
      <c r="W84" s="52"/>
      <c r="X84" s="52"/>
      <c r="Y84" s="52"/>
      <c r="Z84" s="52"/>
      <c r="AA84" s="52">
        <v>0</v>
      </c>
      <c r="AB84" s="52">
        <v>1886.2399999999998</v>
      </c>
    </row>
    <row r="85" spans="1:28" x14ac:dyDescent="0.25">
      <c r="A85" s="51">
        <v>8046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>
        <v>187444.71</v>
      </c>
      <c r="N85" s="52">
        <v>469.3</v>
      </c>
      <c r="O85" s="52"/>
      <c r="P85" s="52"/>
      <c r="Q85" s="52"/>
      <c r="R85" s="52"/>
      <c r="S85" s="52"/>
      <c r="T85" s="52"/>
      <c r="U85" s="52"/>
      <c r="V85" s="52"/>
      <c r="W85" s="52">
        <v>128970</v>
      </c>
      <c r="X85" s="52"/>
      <c r="Y85" s="52"/>
      <c r="Z85" s="52"/>
      <c r="AA85" s="52">
        <v>0</v>
      </c>
      <c r="AB85" s="52">
        <v>316884.01</v>
      </c>
    </row>
    <row r="86" spans="1:28" x14ac:dyDescent="0.25">
      <c r="A86" s="51">
        <v>8050</v>
      </c>
      <c r="B86" s="52"/>
      <c r="C86" s="52">
        <v>767461.88</v>
      </c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>
        <v>65.180000000000007</v>
      </c>
      <c r="U86" s="52"/>
      <c r="V86" s="52"/>
      <c r="W86" s="52"/>
      <c r="X86" s="52"/>
      <c r="Y86" s="52"/>
      <c r="Z86" s="52"/>
      <c r="AA86" s="52">
        <v>0</v>
      </c>
      <c r="AB86" s="52">
        <v>767527.06</v>
      </c>
    </row>
    <row r="87" spans="1:28" x14ac:dyDescent="0.25">
      <c r="A87" s="51">
        <v>8100</v>
      </c>
      <c r="B87" s="52">
        <v>2453.66</v>
      </c>
      <c r="C87" s="52"/>
      <c r="D87" s="52">
        <v>18125</v>
      </c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>
        <v>0</v>
      </c>
      <c r="AB87" s="52">
        <v>20578.66</v>
      </c>
    </row>
    <row r="88" spans="1:28" x14ac:dyDescent="0.25">
      <c r="A88" s="51">
        <v>8110</v>
      </c>
      <c r="B88" s="52"/>
      <c r="C88" s="52"/>
      <c r="D88" s="52">
        <v>21000</v>
      </c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>
        <v>0</v>
      </c>
      <c r="AB88" s="52">
        <v>21000</v>
      </c>
    </row>
    <row r="89" spans="1:28" x14ac:dyDescent="0.25">
      <c r="A89" s="51">
        <v>8115</v>
      </c>
      <c r="B89" s="52">
        <v>710.3</v>
      </c>
      <c r="C89" s="52"/>
      <c r="D89" s="52"/>
      <c r="E89" s="52"/>
      <c r="F89" s="52">
        <v>628971.19999999995</v>
      </c>
      <c r="G89" s="52"/>
      <c r="H89" s="52"/>
      <c r="I89" s="52">
        <v>21395</v>
      </c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>
        <v>0</v>
      </c>
      <c r="AB89" s="52">
        <v>651076.5</v>
      </c>
    </row>
    <row r="90" spans="1:28" x14ac:dyDescent="0.25">
      <c r="A90" s="51">
        <v>8117</v>
      </c>
      <c r="B90" s="52"/>
      <c r="C90" s="52"/>
      <c r="D90" s="52"/>
      <c r="E90" s="52"/>
      <c r="F90" s="52">
        <v>7079.2</v>
      </c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>
        <v>0</v>
      </c>
      <c r="AB90" s="52">
        <v>7079.2</v>
      </c>
    </row>
    <row r="91" spans="1:28" x14ac:dyDescent="0.25">
      <c r="A91" s="51">
        <v>8120</v>
      </c>
      <c r="B91" s="52"/>
      <c r="C91" s="52">
        <v>81842.06</v>
      </c>
      <c r="D91" s="52"/>
      <c r="E91" s="52"/>
      <c r="F91" s="52">
        <v>6115177.2400000002</v>
      </c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>
        <v>0</v>
      </c>
      <c r="AB91" s="52">
        <v>6197019.2999999998</v>
      </c>
    </row>
    <row r="92" spans="1:28" x14ac:dyDescent="0.25">
      <c r="A92" s="51">
        <v>8125</v>
      </c>
      <c r="B92" s="52"/>
      <c r="C92" s="52"/>
      <c r="D92" s="52"/>
      <c r="E92" s="52"/>
      <c r="F92" s="52">
        <v>1286896.1200000001</v>
      </c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>
        <v>0</v>
      </c>
      <c r="AB92" s="52">
        <v>1286896.1200000001</v>
      </c>
    </row>
    <row r="93" spans="1:28" x14ac:dyDescent="0.25">
      <c r="A93" s="51">
        <v>8130</v>
      </c>
      <c r="B93" s="52"/>
      <c r="C93" s="52"/>
      <c r="D93" s="52"/>
      <c r="E93" s="52"/>
      <c r="F93" s="52">
        <v>609701.74</v>
      </c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>
        <v>0</v>
      </c>
      <c r="AB93" s="52">
        <v>609701.74</v>
      </c>
    </row>
    <row r="94" spans="1:28" x14ac:dyDescent="0.25">
      <c r="A94" s="51">
        <v>8140</v>
      </c>
      <c r="B94" s="52"/>
      <c r="C94" s="52"/>
      <c r="D94" s="52"/>
      <c r="E94" s="52"/>
      <c r="F94" s="52">
        <v>16775.13</v>
      </c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>
        <v>0</v>
      </c>
      <c r="AB94" s="52">
        <v>16775.13</v>
      </c>
    </row>
    <row r="95" spans="1:28" x14ac:dyDescent="0.25">
      <c r="A95" s="51">
        <v>8150</v>
      </c>
      <c r="B95" s="52"/>
      <c r="C95" s="52">
        <v>22812.21</v>
      </c>
      <c r="D95" s="52"/>
      <c r="E95" s="52">
        <v>3025.63</v>
      </c>
      <c r="F95" s="52"/>
      <c r="G95" s="52"/>
      <c r="H95" s="52"/>
      <c r="I95" s="52"/>
      <c r="J95" s="52"/>
      <c r="K95" s="52"/>
      <c r="L95" s="52"/>
      <c r="M95" s="52"/>
      <c r="N95" s="52"/>
      <c r="O95" s="52">
        <v>392.34</v>
      </c>
      <c r="P95" s="52"/>
      <c r="Q95" s="52"/>
      <c r="R95" s="52">
        <v>682.04</v>
      </c>
      <c r="S95" s="52"/>
      <c r="T95" s="52"/>
      <c r="U95" s="52"/>
      <c r="V95" s="52"/>
      <c r="W95" s="52"/>
      <c r="X95" s="52"/>
      <c r="Y95" s="52"/>
      <c r="Z95" s="52"/>
      <c r="AA95" s="52">
        <v>0</v>
      </c>
      <c r="AB95" s="52">
        <v>26912.22</v>
      </c>
    </row>
    <row r="96" spans="1:28" x14ac:dyDescent="0.25">
      <c r="A96" s="51">
        <v>8200</v>
      </c>
      <c r="B96" s="52">
        <v>229031.96</v>
      </c>
      <c r="C96" s="52">
        <v>1100</v>
      </c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>
        <v>0</v>
      </c>
      <c r="AB96" s="52">
        <v>230131.96</v>
      </c>
    </row>
    <row r="97" spans="1:28" x14ac:dyDescent="0.25">
      <c r="A97" s="51">
        <v>8205</v>
      </c>
      <c r="B97" s="52">
        <v>72411.11</v>
      </c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>
        <v>0</v>
      </c>
      <c r="AB97" s="52">
        <v>72411.11</v>
      </c>
    </row>
    <row r="98" spans="1:28" x14ac:dyDescent="0.25">
      <c r="A98" s="51">
        <v>8300</v>
      </c>
      <c r="B98" s="52"/>
      <c r="C98" s="52"/>
      <c r="D98" s="52"/>
      <c r="E98" s="52"/>
      <c r="F98" s="52"/>
      <c r="G98" s="52"/>
      <c r="H98" s="52">
        <v>2795.98</v>
      </c>
      <c r="I98" s="52">
        <v>7178.98</v>
      </c>
      <c r="J98" s="52"/>
      <c r="K98" s="52"/>
      <c r="L98" s="52"/>
      <c r="M98" s="52">
        <v>1305.25</v>
      </c>
      <c r="N98" s="52">
        <v>12416.48</v>
      </c>
      <c r="O98" s="52"/>
      <c r="P98" s="52">
        <v>31118.67</v>
      </c>
      <c r="Q98" s="52"/>
      <c r="R98" s="52"/>
      <c r="S98" s="52"/>
      <c r="T98" s="52">
        <v>73765.53</v>
      </c>
      <c r="U98" s="52"/>
      <c r="V98" s="52">
        <v>3452.82</v>
      </c>
      <c r="W98" s="52">
        <v>20521.830000000002</v>
      </c>
      <c r="X98" s="52">
        <v>42140.1</v>
      </c>
      <c r="Y98" s="52"/>
      <c r="Z98" s="52"/>
      <c r="AA98" s="52">
        <v>0</v>
      </c>
      <c r="AB98" s="52">
        <v>194695.63999999998</v>
      </c>
    </row>
    <row r="99" spans="1:28" x14ac:dyDescent="0.25">
      <c r="A99" s="51">
        <v>8301</v>
      </c>
      <c r="B99" s="52">
        <v>11134.52</v>
      </c>
      <c r="C99" s="52">
        <v>313</v>
      </c>
      <c r="D99" s="52">
        <v>2931.66</v>
      </c>
      <c r="E99" s="52"/>
      <c r="F99" s="52">
        <v>686.31</v>
      </c>
      <c r="G99" s="52"/>
      <c r="H99" s="52"/>
      <c r="I99" s="52">
        <v>23684.43</v>
      </c>
      <c r="J99" s="52"/>
      <c r="K99" s="52"/>
      <c r="L99" s="52"/>
      <c r="M99" s="52">
        <v>16437.87</v>
      </c>
      <c r="N99" s="52">
        <v>16484.189999999999</v>
      </c>
      <c r="O99" s="52">
        <v>2892.75</v>
      </c>
      <c r="P99" s="52">
        <v>33441.47</v>
      </c>
      <c r="Q99" s="52"/>
      <c r="R99" s="52">
        <v>543.13</v>
      </c>
      <c r="S99" s="52"/>
      <c r="T99" s="52">
        <v>16219.65</v>
      </c>
      <c r="U99" s="52"/>
      <c r="V99" s="52">
        <v>977.43</v>
      </c>
      <c r="W99" s="52">
        <v>1969.8</v>
      </c>
      <c r="X99" s="52">
        <v>2732.92</v>
      </c>
      <c r="Y99" s="52">
        <v>831.95</v>
      </c>
      <c r="Z99" s="52"/>
      <c r="AA99" s="52">
        <v>0</v>
      </c>
      <c r="AB99" s="52">
        <v>131281.07999999999</v>
      </c>
    </row>
    <row r="100" spans="1:28" x14ac:dyDescent="0.25">
      <c r="A100" s="51">
        <v>8302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>
        <v>26105.439999999999</v>
      </c>
      <c r="P100" s="52">
        <v>16039.36</v>
      </c>
      <c r="Q100" s="52"/>
      <c r="R100" s="52"/>
      <c r="S100" s="52"/>
      <c r="T100" s="52">
        <v>233308.44</v>
      </c>
      <c r="U100" s="52"/>
      <c r="V100" s="52">
        <v>5516.35</v>
      </c>
      <c r="W100" s="52"/>
      <c r="X100" s="52"/>
      <c r="Y100" s="52"/>
      <c r="Z100" s="52"/>
      <c r="AA100" s="52">
        <v>0</v>
      </c>
      <c r="AB100" s="52">
        <v>280969.58999999997</v>
      </c>
    </row>
    <row r="101" spans="1:28" x14ac:dyDescent="0.25">
      <c r="A101" s="51">
        <v>8304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>
        <v>6912.06</v>
      </c>
      <c r="N101" s="52"/>
      <c r="O101" s="52"/>
      <c r="P101" s="52"/>
      <c r="Q101" s="52"/>
      <c r="R101" s="52">
        <v>4241.25</v>
      </c>
      <c r="S101" s="52"/>
      <c r="T101" s="52"/>
      <c r="U101" s="52"/>
      <c r="V101" s="52"/>
      <c r="W101" s="52"/>
      <c r="X101" s="52"/>
      <c r="Y101" s="52"/>
      <c r="Z101" s="52"/>
      <c r="AA101" s="52">
        <v>0</v>
      </c>
      <c r="AB101" s="52">
        <v>11153.310000000001</v>
      </c>
    </row>
    <row r="102" spans="1:28" x14ac:dyDescent="0.25">
      <c r="A102" s="51">
        <v>8305</v>
      </c>
      <c r="B102" s="52"/>
      <c r="C102" s="52">
        <v>1130.5999999999999</v>
      </c>
      <c r="D102" s="52">
        <v>29.67</v>
      </c>
      <c r="E102" s="52"/>
      <c r="F102" s="52"/>
      <c r="G102" s="52"/>
      <c r="H102" s="52">
        <v>304037.21999999997</v>
      </c>
      <c r="I102" s="52">
        <v>700.22</v>
      </c>
      <c r="J102" s="52">
        <v>272.95</v>
      </c>
      <c r="K102" s="52"/>
      <c r="L102" s="52"/>
      <c r="M102" s="52">
        <v>44565.43</v>
      </c>
      <c r="N102" s="52">
        <v>4444.08</v>
      </c>
      <c r="O102" s="52">
        <v>1053.3599999999999</v>
      </c>
      <c r="P102" s="52">
        <v>28131.34</v>
      </c>
      <c r="Q102" s="52"/>
      <c r="R102" s="52">
        <v>5085.3599999999997</v>
      </c>
      <c r="S102" s="52"/>
      <c r="T102" s="52">
        <v>1817.08</v>
      </c>
      <c r="U102" s="52"/>
      <c r="V102" s="52"/>
      <c r="W102" s="52">
        <v>540.27</v>
      </c>
      <c r="X102" s="52">
        <v>1966.82</v>
      </c>
      <c r="Y102" s="52">
        <v>2122.5</v>
      </c>
      <c r="Z102" s="52"/>
      <c r="AA102" s="52">
        <v>0</v>
      </c>
      <c r="AB102" s="52">
        <v>395896.9</v>
      </c>
    </row>
    <row r="103" spans="1:28" x14ac:dyDescent="0.25">
      <c r="A103" s="51">
        <v>8306</v>
      </c>
      <c r="B103" s="52"/>
      <c r="C103" s="52"/>
      <c r="D103" s="52"/>
      <c r="E103" s="52"/>
      <c r="F103" s="52"/>
      <c r="G103" s="52"/>
      <c r="H103" s="52">
        <v>62017.13</v>
      </c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>
        <v>0</v>
      </c>
      <c r="AB103" s="52">
        <v>62017.13</v>
      </c>
    </row>
    <row r="104" spans="1:28" x14ac:dyDescent="0.25">
      <c r="A104" s="51">
        <v>8307</v>
      </c>
      <c r="B104" s="52"/>
      <c r="C104" s="52"/>
      <c r="D104" s="52">
        <v>-26.87</v>
      </c>
      <c r="E104" s="52"/>
      <c r="F104" s="52"/>
      <c r="G104" s="52"/>
      <c r="H104" s="52">
        <v>3273.5</v>
      </c>
      <c r="I104" s="52"/>
      <c r="J104" s="52"/>
      <c r="K104" s="52"/>
      <c r="L104" s="52"/>
      <c r="M104" s="52">
        <v>14939.18</v>
      </c>
      <c r="N104" s="52"/>
      <c r="O104" s="52"/>
      <c r="P104" s="52">
        <v>7775.22</v>
      </c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>
        <v>0</v>
      </c>
      <c r="AB104" s="52">
        <v>25961.030000000002</v>
      </c>
    </row>
    <row r="105" spans="1:28" x14ac:dyDescent="0.25">
      <c r="A105" s="51">
        <v>8310</v>
      </c>
      <c r="B105" s="52"/>
      <c r="C105" s="52"/>
      <c r="D105" s="52">
        <v>2200</v>
      </c>
      <c r="E105" s="52">
        <v>5868.75</v>
      </c>
      <c r="F105" s="52">
        <v>10366.200000000001</v>
      </c>
      <c r="G105" s="52"/>
      <c r="H105" s="52">
        <v>200004.64</v>
      </c>
      <c r="I105" s="52"/>
      <c r="J105" s="52"/>
      <c r="K105" s="52"/>
      <c r="L105" s="52"/>
      <c r="M105" s="52"/>
      <c r="N105" s="52">
        <v>1375</v>
      </c>
      <c r="O105" s="52"/>
      <c r="P105" s="52">
        <v>8428.4</v>
      </c>
      <c r="Q105" s="52"/>
      <c r="R105" s="52">
        <v>79</v>
      </c>
      <c r="S105" s="52"/>
      <c r="T105" s="52">
        <v>2175</v>
      </c>
      <c r="U105" s="52"/>
      <c r="V105" s="52"/>
      <c r="W105" s="52">
        <v>2249.67</v>
      </c>
      <c r="X105" s="52">
        <v>47416.42</v>
      </c>
      <c r="Y105" s="52">
        <v>448.95</v>
      </c>
      <c r="Z105" s="52"/>
      <c r="AA105" s="52">
        <v>0</v>
      </c>
      <c r="AB105" s="52">
        <v>280612.03000000003</v>
      </c>
    </row>
    <row r="106" spans="1:28" x14ac:dyDescent="0.25">
      <c r="A106" s="51">
        <v>8315</v>
      </c>
      <c r="B106" s="52"/>
      <c r="C106" s="52"/>
      <c r="D106" s="52">
        <v>7995</v>
      </c>
      <c r="E106" s="52"/>
      <c r="F106" s="52">
        <v>4275</v>
      </c>
      <c r="G106" s="52"/>
      <c r="H106" s="52">
        <v>503513.31</v>
      </c>
      <c r="I106" s="52"/>
      <c r="J106" s="52"/>
      <c r="K106" s="52"/>
      <c r="L106" s="52"/>
      <c r="M106" s="52"/>
      <c r="N106" s="52"/>
      <c r="O106" s="52"/>
      <c r="P106" s="52">
        <v>4312.5</v>
      </c>
      <c r="Q106" s="52"/>
      <c r="R106" s="52"/>
      <c r="S106" s="52"/>
      <c r="T106" s="52"/>
      <c r="U106" s="52"/>
      <c r="V106" s="52"/>
      <c r="W106" s="52">
        <v>460.07</v>
      </c>
      <c r="X106" s="52">
        <v>4207.9399999999996</v>
      </c>
      <c r="Y106" s="52">
        <v>1800.6</v>
      </c>
      <c r="Z106" s="52"/>
      <c r="AA106" s="52">
        <v>-3973.98</v>
      </c>
      <c r="AB106" s="52">
        <v>522590.43999999994</v>
      </c>
    </row>
    <row r="107" spans="1:28" x14ac:dyDescent="0.25">
      <c r="A107" s="51">
        <v>8401</v>
      </c>
      <c r="B107" s="52">
        <v>686.7</v>
      </c>
      <c r="C107" s="52"/>
      <c r="D107" s="52"/>
      <c r="E107" s="52"/>
      <c r="F107" s="52"/>
      <c r="G107" s="52"/>
      <c r="H107" s="52">
        <v>4681.63</v>
      </c>
      <c r="I107" s="52">
        <v>5508.44</v>
      </c>
      <c r="J107" s="52"/>
      <c r="K107" s="52"/>
      <c r="L107" s="52"/>
      <c r="M107" s="52">
        <v>16002.33</v>
      </c>
      <c r="N107" s="52">
        <v>4861.55</v>
      </c>
      <c r="O107" s="52">
        <v>7134.17</v>
      </c>
      <c r="P107" s="52">
        <v>20346.830000000002</v>
      </c>
      <c r="Q107" s="52">
        <v>147.30000000000001</v>
      </c>
      <c r="R107" s="52">
        <v>796.99</v>
      </c>
      <c r="S107" s="52">
        <v>2268.54</v>
      </c>
      <c r="T107" s="52">
        <v>32710.78</v>
      </c>
      <c r="U107" s="52"/>
      <c r="V107" s="52"/>
      <c r="W107" s="52">
        <v>3577.23</v>
      </c>
      <c r="X107" s="52">
        <v>20594.189999999999</v>
      </c>
      <c r="Y107" s="52">
        <v>2609.79</v>
      </c>
      <c r="Z107" s="52"/>
      <c r="AA107" s="52">
        <v>0</v>
      </c>
      <c r="AB107" s="52">
        <v>121926.47</v>
      </c>
    </row>
    <row r="108" spans="1:28" x14ac:dyDescent="0.25">
      <c r="A108" s="51">
        <v>8405</v>
      </c>
      <c r="B108" s="52">
        <v>3085.99</v>
      </c>
      <c r="C108" s="52">
        <v>5299.02</v>
      </c>
      <c r="D108" s="52">
        <v>4346.58</v>
      </c>
      <c r="E108" s="52">
        <v>77827.58</v>
      </c>
      <c r="F108" s="52">
        <v>633.59</v>
      </c>
      <c r="G108" s="52"/>
      <c r="H108" s="52">
        <v>29145.45</v>
      </c>
      <c r="I108" s="52">
        <v>57599</v>
      </c>
      <c r="J108" s="52"/>
      <c r="K108" s="52"/>
      <c r="L108" s="52">
        <v>94.23</v>
      </c>
      <c r="M108" s="52">
        <v>10199.709999999999</v>
      </c>
      <c r="N108" s="52">
        <v>2756.21</v>
      </c>
      <c r="O108" s="52">
        <v>2583.33</v>
      </c>
      <c r="P108" s="52">
        <v>32542.22</v>
      </c>
      <c r="Q108" s="52"/>
      <c r="R108" s="52">
        <v>1928.19</v>
      </c>
      <c r="S108" s="52"/>
      <c r="T108" s="52">
        <v>7626.43</v>
      </c>
      <c r="U108" s="52"/>
      <c r="V108" s="52">
        <v>380.51</v>
      </c>
      <c r="W108" s="52">
        <v>6173.13</v>
      </c>
      <c r="X108" s="52">
        <v>7257.81</v>
      </c>
      <c r="Y108" s="52">
        <v>577.78</v>
      </c>
      <c r="Z108" s="52"/>
      <c r="AA108" s="52">
        <v>0</v>
      </c>
      <c r="AB108" s="52">
        <v>250056.75999999998</v>
      </c>
    </row>
    <row r="109" spans="1:28" x14ac:dyDescent="0.25">
      <c r="A109" s="51">
        <v>8406</v>
      </c>
      <c r="B109" s="52"/>
      <c r="C109" s="52">
        <v>10</v>
      </c>
      <c r="D109" s="52"/>
      <c r="E109" s="52">
        <v>17078.189999999999</v>
      </c>
      <c r="F109" s="52"/>
      <c r="G109" s="52"/>
      <c r="H109" s="52">
        <v>1233.1400000000001</v>
      </c>
      <c r="I109" s="52">
        <v>9529.82</v>
      </c>
      <c r="J109" s="52"/>
      <c r="K109" s="52"/>
      <c r="L109" s="52"/>
      <c r="M109" s="52">
        <v>1756.6</v>
      </c>
      <c r="N109" s="52"/>
      <c r="O109" s="52"/>
      <c r="P109" s="52">
        <v>1840.28</v>
      </c>
      <c r="Q109" s="52"/>
      <c r="R109" s="52">
        <v>30.24</v>
      </c>
      <c r="S109" s="52"/>
      <c r="T109" s="52"/>
      <c r="U109" s="52"/>
      <c r="V109" s="52"/>
      <c r="W109" s="52"/>
      <c r="X109" s="52"/>
      <c r="Y109" s="52"/>
      <c r="Z109" s="52"/>
      <c r="AA109" s="52">
        <v>0</v>
      </c>
      <c r="AB109" s="52">
        <v>31478.269999999997</v>
      </c>
    </row>
    <row r="110" spans="1:28" x14ac:dyDescent="0.25">
      <c r="A110" s="51">
        <v>8410</v>
      </c>
      <c r="B110" s="52">
        <v>1057.3800000000001</v>
      </c>
      <c r="C110" s="52">
        <v>379.92</v>
      </c>
      <c r="D110" s="52">
        <v>764.33</v>
      </c>
      <c r="E110" s="52">
        <v>6061.38</v>
      </c>
      <c r="F110" s="52">
        <v>126.55</v>
      </c>
      <c r="G110" s="52"/>
      <c r="H110" s="52">
        <v>3159.76</v>
      </c>
      <c r="I110" s="52">
        <v>5867.11</v>
      </c>
      <c r="J110" s="52">
        <v>123.13</v>
      </c>
      <c r="K110" s="52"/>
      <c r="L110" s="52">
        <v>297</v>
      </c>
      <c r="M110" s="52">
        <v>23984.79</v>
      </c>
      <c r="N110" s="52">
        <v>8084.31</v>
      </c>
      <c r="O110" s="52">
        <v>519.84</v>
      </c>
      <c r="P110" s="52">
        <v>-7.76</v>
      </c>
      <c r="Q110" s="52"/>
      <c r="R110" s="52">
        <v>2125.66</v>
      </c>
      <c r="S110" s="52"/>
      <c r="T110" s="52">
        <v>296.97000000000003</v>
      </c>
      <c r="U110" s="52"/>
      <c r="V110" s="52"/>
      <c r="W110" s="52"/>
      <c r="X110" s="52">
        <v>38.950000000000003</v>
      </c>
      <c r="Y110" s="52"/>
      <c r="Z110" s="52"/>
      <c r="AA110" s="52">
        <v>0</v>
      </c>
      <c r="AB110" s="52">
        <v>52879.319999999992</v>
      </c>
    </row>
    <row r="111" spans="1:28" x14ac:dyDescent="0.25">
      <c r="A111" s="51">
        <v>8411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>
        <v>174</v>
      </c>
      <c r="U111" s="52"/>
      <c r="V111" s="52"/>
      <c r="W111" s="52"/>
      <c r="X111" s="52">
        <v>65.8</v>
      </c>
      <c r="Y111" s="52"/>
      <c r="Z111" s="52"/>
      <c r="AA111" s="52">
        <v>0</v>
      </c>
      <c r="AB111" s="52">
        <v>239.8</v>
      </c>
    </row>
    <row r="112" spans="1:28" x14ac:dyDescent="0.25">
      <c r="A112" s="51">
        <v>8415</v>
      </c>
      <c r="B112" s="52"/>
      <c r="C112" s="52">
        <v>1256.8399999999999</v>
      </c>
      <c r="D112" s="52">
        <v>449</v>
      </c>
      <c r="E112" s="52">
        <v>110362.3</v>
      </c>
      <c r="F112" s="52">
        <v>3231.95</v>
      </c>
      <c r="G112" s="52"/>
      <c r="H112" s="52">
        <v>1578.75</v>
      </c>
      <c r="I112" s="52"/>
      <c r="J112" s="52"/>
      <c r="K112" s="52"/>
      <c r="L112" s="52"/>
      <c r="M112" s="52"/>
      <c r="N112" s="52">
        <v>8232.19</v>
      </c>
      <c r="O112" s="52">
        <v>1416.07</v>
      </c>
      <c r="P112" s="52">
        <v>137.52000000000001</v>
      </c>
      <c r="Q112" s="52"/>
      <c r="R112" s="52">
        <v>10912.54</v>
      </c>
      <c r="S112" s="52"/>
      <c r="T112" s="52">
        <v>2462.2199999999998</v>
      </c>
      <c r="U112" s="52"/>
      <c r="V112" s="52"/>
      <c r="W112" s="52">
        <v>1997.86</v>
      </c>
      <c r="X112" s="52">
        <v>11251</v>
      </c>
      <c r="Y112" s="52">
        <v>1540.97</v>
      </c>
      <c r="Z112" s="52">
        <v>93.51</v>
      </c>
      <c r="AA112" s="52">
        <v>0</v>
      </c>
      <c r="AB112" s="52">
        <v>154922.72</v>
      </c>
    </row>
    <row r="113" spans="1:28" x14ac:dyDescent="0.25">
      <c r="A113" s="51">
        <v>8420</v>
      </c>
      <c r="B113" s="52">
        <v>6626</v>
      </c>
      <c r="C113" s="52"/>
      <c r="D113" s="52"/>
      <c r="E113" s="52">
        <v>1631.25</v>
      </c>
      <c r="F113" s="52">
        <v>8115.58</v>
      </c>
      <c r="G113" s="52"/>
      <c r="H113" s="52">
        <v>5642.83</v>
      </c>
      <c r="I113" s="52">
        <v>755</v>
      </c>
      <c r="J113" s="52"/>
      <c r="K113" s="52"/>
      <c r="L113" s="52"/>
      <c r="M113" s="52">
        <v>130.04</v>
      </c>
      <c r="N113" s="52">
        <v>10863.44</v>
      </c>
      <c r="O113" s="52"/>
      <c r="P113" s="52"/>
      <c r="Q113" s="52"/>
      <c r="R113" s="52">
        <v>216.67</v>
      </c>
      <c r="S113" s="52"/>
      <c r="T113" s="52"/>
      <c r="U113" s="52"/>
      <c r="V113" s="52"/>
      <c r="W113" s="52">
        <v>76802.25</v>
      </c>
      <c r="X113" s="52">
        <v>4076.93</v>
      </c>
      <c r="Y113" s="52"/>
      <c r="Z113" s="52"/>
      <c r="AA113" s="52">
        <v>0</v>
      </c>
      <c r="AB113" s="52">
        <v>114859.98999999999</v>
      </c>
    </row>
    <row r="114" spans="1:28" x14ac:dyDescent="0.25">
      <c r="A114" s="51">
        <v>8425</v>
      </c>
      <c r="B114" s="52">
        <v>5095.59</v>
      </c>
      <c r="C114" s="52">
        <v>99</v>
      </c>
      <c r="D114" s="52"/>
      <c r="E114" s="52"/>
      <c r="F114" s="52"/>
      <c r="G114" s="52"/>
      <c r="H114" s="52">
        <v>75349.42</v>
      </c>
      <c r="I114" s="52">
        <v>3392.23</v>
      </c>
      <c r="J114" s="52"/>
      <c r="K114" s="52"/>
      <c r="L114" s="52"/>
      <c r="M114" s="52">
        <v>517.23</v>
      </c>
      <c r="N114" s="52">
        <v>95165.69</v>
      </c>
      <c r="O114" s="52">
        <v>101290.15</v>
      </c>
      <c r="P114" s="52">
        <v>26004.32</v>
      </c>
      <c r="Q114" s="52"/>
      <c r="R114" s="52"/>
      <c r="S114" s="52"/>
      <c r="T114" s="52">
        <v>10337.77</v>
      </c>
      <c r="U114" s="52"/>
      <c r="V114" s="52"/>
      <c r="W114" s="52">
        <v>30767.71</v>
      </c>
      <c r="X114" s="52">
        <v>83736.3</v>
      </c>
      <c r="Y114" s="52">
        <v>2005.26</v>
      </c>
      <c r="Z114" s="52"/>
      <c r="AA114" s="52">
        <v>-134.54</v>
      </c>
      <c r="AB114" s="52">
        <v>433626.13</v>
      </c>
    </row>
    <row r="115" spans="1:28" x14ac:dyDescent="0.25">
      <c r="A115" s="51">
        <v>8430</v>
      </c>
      <c r="B115" s="52">
        <v>1017.6</v>
      </c>
      <c r="C115" s="52"/>
      <c r="D115" s="52"/>
      <c r="E115" s="52"/>
      <c r="F115" s="52"/>
      <c r="G115" s="52"/>
      <c r="H115" s="52"/>
      <c r="I115" s="52">
        <v>79633.02</v>
      </c>
      <c r="J115" s="52"/>
      <c r="K115" s="52">
        <v>147.9</v>
      </c>
      <c r="L115" s="52"/>
      <c r="M115" s="52">
        <v>1345.65</v>
      </c>
      <c r="N115" s="52"/>
      <c r="O115" s="52"/>
      <c r="P115" s="52">
        <v>12688.66</v>
      </c>
      <c r="Q115" s="52"/>
      <c r="R115" s="52"/>
      <c r="S115" s="52"/>
      <c r="T115" s="52">
        <v>20669.47</v>
      </c>
      <c r="U115" s="52"/>
      <c r="V115" s="52"/>
      <c r="W115" s="52"/>
      <c r="X115" s="52"/>
      <c r="Y115" s="52"/>
      <c r="Z115" s="52"/>
      <c r="AA115" s="52">
        <v>0</v>
      </c>
      <c r="AB115" s="52">
        <v>115502.3</v>
      </c>
    </row>
    <row r="116" spans="1:28" x14ac:dyDescent="0.25">
      <c r="A116" s="51">
        <v>8500</v>
      </c>
      <c r="B116" s="52"/>
      <c r="C116" s="52"/>
      <c r="D116" s="52"/>
      <c r="E116" s="52">
        <v>19324.330000000002</v>
      </c>
      <c r="F116" s="52"/>
      <c r="G116" s="52"/>
      <c r="H116" s="52"/>
      <c r="I116" s="52"/>
      <c r="J116" s="52"/>
      <c r="K116" s="52"/>
      <c r="L116" s="52"/>
      <c r="M116" s="52"/>
      <c r="N116" s="52">
        <v>-2285.94</v>
      </c>
      <c r="O116" s="52"/>
      <c r="P116" s="52">
        <v>4724.9799999999996</v>
      </c>
      <c r="Q116" s="52"/>
      <c r="R116" s="52"/>
      <c r="S116" s="52"/>
      <c r="T116" s="52"/>
      <c r="U116" s="52"/>
      <c r="V116" s="52"/>
      <c r="W116" s="52">
        <v>3000</v>
      </c>
      <c r="X116" s="52"/>
      <c r="Y116" s="52"/>
      <c r="Z116" s="52"/>
      <c r="AA116" s="52">
        <v>0</v>
      </c>
      <c r="AB116" s="52">
        <v>24763.370000000003</v>
      </c>
    </row>
    <row r="117" spans="1:28" x14ac:dyDescent="0.25">
      <c r="A117" s="51">
        <v>8505</v>
      </c>
      <c r="B117" s="52"/>
      <c r="C117" s="52"/>
      <c r="D117" s="52"/>
      <c r="E117" s="52">
        <v>556221.30000000005</v>
      </c>
      <c r="F117" s="52"/>
      <c r="G117" s="52"/>
      <c r="H117" s="52"/>
      <c r="I117" s="52"/>
      <c r="J117" s="52">
        <v>-3890.37</v>
      </c>
      <c r="K117" s="52"/>
      <c r="L117" s="52"/>
      <c r="M117" s="52">
        <v>615.79999999999995</v>
      </c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>
        <v>0</v>
      </c>
      <c r="AB117" s="52">
        <v>552946.7300000001</v>
      </c>
    </row>
    <row r="118" spans="1:28" x14ac:dyDescent="0.25">
      <c r="A118" s="51">
        <v>8550</v>
      </c>
      <c r="B118" s="52">
        <v>208.87</v>
      </c>
      <c r="C118" s="52">
        <v>238</v>
      </c>
      <c r="D118" s="52">
        <v>37653.760000000002</v>
      </c>
      <c r="E118" s="52">
        <v>195</v>
      </c>
      <c r="F118" s="52"/>
      <c r="G118" s="52"/>
      <c r="H118" s="52"/>
      <c r="I118" s="52">
        <v>77</v>
      </c>
      <c r="J118" s="52">
        <v>32</v>
      </c>
      <c r="K118" s="52"/>
      <c r="L118" s="52">
        <v>67</v>
      </c>
      <c r="M118" s="52">
        <v>32</v>
      </c>
      <c r="N118" s="52"/>
      <c r="O118" s="52">
        <v>357</v>
      </c>
      <c r="P118" s="52"/>
      <c r="Q118" s="52"/>
      <c r="R118" s="52">
        <v>15</v>
      </c>
      <c r="S118" s="52"/>
      <c r="T118" s="52">
        <v>350</v>
      </c>
      <c r="U118" s="52"/>
      <c r="V118" s="52"/>
      <c r="W118" s="52"/>
      <c r="X118" s="52">
        <v>3003.8</v>
      </c>
      <c r="Y118" s="52"/>
      <c r="Z118" s="52"/>
      <c r="AA118" s="52">
        <v>0</v>
      </c>
      <c r="AB118" s="52">
        <v>42229.430000000008</v>
      </c>
    </row>
    <row r="119" spans="1:28" x14ac:dyDescent="0.25">
      <c r="A119" s="51">
        <v>8551</v>
      </c>
      <c r="B119" s="52"/>
      <c r="C119" s="52"/>
      <c r="D119" s="52">
        <v>-0.01</v>
      </c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>
        <v>68.239999999999995</v>
      </c>
      <c r="AB119" s="52">
        <v>68.22999999999999</v>
      </c>
    </row>
    <row r="120" spans="1:28" x14ac:dyDescent="0.25">
      <c r="A120" s="51">
        <v>8600</v>
      </c>
      <c r="B120" s="52"/>
      <c r="C120" s="52">
        <v>267422.49</v>
      </c>
      <c r="D120" s="52"/>
      <c r="E120" s="52">
        <v>7674.8</v>
      </c>
      <c r="F120" s="52">
        <v>6365.2</v>
      </c>
      <c r="G120" s="52"/>
      <c r="H120" s="52">
        <v>572.85</v>
      </c>
      <c r="I120" s="52">
        <v>3043.2</v>
      </c>
      <c r="J120" s="52"/>
      <c r="K120" s="52"/>
      <c r="L120" s="52">
        <v>6334</v>
      </c>
      <c r="M120" s="52">
        <v>7295.14</v>
      </c>
      <c r="N120" s="52"/>
      <c r="O120" s="52">
        <v>305.8</v>
      </c>
      <c r="P120" s="52">
        <v>4733.8</v>
      </c>
      <c r="Q120" s="52"/>
      <c r="R120" s="52">
        <v>47234.73</v>
      </c>
      <c r="S120" s="52"/>
      <c r="T120" s="52">
        <v>10081.23</v>
      </c>
      <c r="U120" s="52"/>
      <c r="V120" s="52"/>
      <c r="W120" s="52">
        <v>413</v>
      </c>
      <c r="X120" s="52"/>
      <c r="Y120" s="52">
        <v>2122.69</v>
      </c>
      <c r="Z120" s="52">
        <v>7103.8</v>
      </c>
      <c r="AA120" s="52">
        <v>0</v>
      </c>
      <c r="AB120" s="52">
        <v>370702.72999999992</v>
      </c>
    </row>
    <row r="121" spans="1:28" x14ac:dyDescent="0.25">
      <c r="A121" s="51">
        <v>8601</v>
      </c>
      <c r="B121" s="52"/>
      <c r="C121" s="52">
        <v>178205.92</v>
      </c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>
        <v>155.26</v>
      </c>
      <c r="S121" s="52"/>
      <c r="T121" s="52"/>
      <c r="U121" s="52"/>
      <c r="V121" s="52"/>
      <c r="W121" s="52"/>
      <c r="X121" s="52"/>
      <c r="Y121" s="52"/>
      <c r="Z121" s="52"/>
      <c r="AA121" s="52">
        <v>0</v>
      </c>
      <c r="AB121" s="52">
        <v>178361.18000000002</v>
      </c>
    </row>
    <row r="122" spans="1:28" x14ac:dyDescent="0.25">
      <c r="A122" s="51">
        <v>8605</v>
      </c>
      <c r="B122" s="52"/>
      <c r="C122" s="52">
        <v>79043.47</v>
      </c>
      <c r="D122" s="52"/>
      <c r="E122" s="52">
        <v>4324.0600000000004</v>
      </c>
      <c r="F122" s="52">
        <v>178.62</v>
      </c>
      <c r="G122" s="52"/>
      <c r="H122" s="52">
        <v>237.39</v>
      </c>
      <c r="I122" s="52">
        <v>1307.97</v>
      </c>
      <c r="J122" s="52"/>
      <c r="K122" s="52"/>
      <c r="L122" s="52">
        <v>2327.3000000000002</v>
      </c>
      <c r="M122" s="52">
        <v>13363.44</v>
      </c>
      <c r="N122" s="52"/>
      <c r="O122" s="52"/>
      <c r="P122" s="52">
        <v>919.07</v>
      </c>
      <c r="Q122" s="52"/>
      <c r="R122" s="52">
        <v>10914.31</v>
      </c>
      <c r="S122" s="52"/>
      <c r="T122" s="52">
        <v>10289.41</v>
      </c>
      <c r="U122" s="52"/>
      <c r="V122" s="52"/>
      <c r="W122" s="52"/>
      <c r="X122" s="52">
        <v>597.88</v>
      </c>
      <c r="Y122" s="52">
        <v>817.86</v>
      </c>
      <c r="Z122" s="52">
        <v>843.57</v>
      </c>
      <c r="AA122" s="52">
        <v>0</v>
      </c>
      <c r="AB122" s="52">
        <v>125164.35000000002</v>
      </c>
    </row>
    <row r="123" spans="1:28" x14ac:dyDescent="0.25">
      <c r="A123" s="51">
        <v>8607</v>
      </c>
      <c r="B123" s="52"/>
      <c r="C123" s="52">
        <v>10548.36</v>
      </c>
      <c r="D123" s="52">
        <v>8.57</v>
      </c>
      <c r="E123" s="52">
        <v>7157.49</v>
      </c>
      <c r="F123" s="52">
        <v>568.55999999999995</v>
      </c>
      <c r="G123" s="52"/>
      <c r="H123" s="52">
        <v>316.2</v>
      </c>
      <c r="I123" s="52">
        <v>5384.41</v>
      </c>
      <c r="J123" s="52"/>
      <c r="K123" s="52"/>
      <c r="L123" s="52">
        <v>1782.37</v>
      </c>
      <c r="M123" s="52">
        <v>13088.72</v>
      </c>
      <c r="N123" s="52">
        <v>3894.02</v>
      </c>
      <c r="O123" s="52">
        <v>3783.88</v>
      </c>
      <c r="P123" s="52">
        <v>15023.63</v>
      </c>
      <c r="Q123" s="52"/>
      <c r="R123" s="52">
        <v>6605.73</v>
      </c>
      <c r="S123" s="52"/>
      <c r="T123" s="52">
        <v>14102.69</v>
      </c>
      <c r="U123" s="52"/>
      <c r="V123" s="52"/>
      <c r="W123" s="52"/>
      <c r="X123" s="52">
        <v>333.43</v>
      </c>
      <c r="Y123" s="52">
        <v>3137.08</v>
      </c>
      <c r="Z123" s="52">
        <v>1106.9100000000001</v>
      </c>
      <c r="AA123" s="52">
        <v>0</v>
      </c>
      <c r="AB123" s="52">
        <v>86842.049999999988</v>
      </c>
    </row>
    <row r="124" spans="1:28" x14ac:dyDescent="0.25">
      <c r="A124" s="51">
        <v>8610</v>
      </c>
      <c r="B124" s="52"/>
      <c r="C124" s="52">
        <v>12311.99</v>
      </c>
      <c r="D124" s="52"/>
      <c r="E124" s="52">
        <v>494.77</v>
      </c>
      <c r="F124" s="52">
        <v>105.11</v>
      </c>
      <c r="G124" s="52"/>
      <c r="H124" s="52"/>
      <c r="I124" s="52">
        <v>213.24</v>
      </c>
      <c r="J124" s="52"/>
      <c r="K124" s="52"/>
      <c r="L124" s="52">
        <v>723.53</v>
      </c>
      <c r="M124" s="52">
        <v>2028.52</v>
      </c>
      <c r="N124" s="52">
        <v>395.35</v>
      </c>
      <c r="O124" s="52">
        <v>120.64</v>
      </c>
      <c r="P124" s="52">
        <v>262.24</v>
      </c>
      <c r="Q124" s="52"/>
      <c r="R124" s="52">
        <v>4377.7</v>
      </c>
      <c r="S124" s="52"/>
      <c r="T124" s="52">
        <v>1412.94</v>
      </c>
      <c r="U124" s="52"/>
      <c r="V124" s="52"/>
      <c r="W124" s="52"/>
      <c r="X124" s="52">
        <v>90.27</v>
      </c>
      <c r="Y124" s="52">
        <v>377.92</v>
      </c>
      <c r="Z124" s="52">
        <v>97.38</v>
      </c>
      <c r="AA124" s="52">
        <v>0</v>
      </c>
      <c r="AB124" s="52">
        <v>23011.600000000002</v>
      </c>
    </row>
    <row r="125" spans="1:28" x14ac:dyDescent="0.25">
      <c r="A125" s="51">
        <v>8615</v>
      </c>
      <c r="B125" s="52"/>
      <c r="C125" s="52">
        <v>1566.56</v>
      </c>
      <c r="D125" s="52"/>
      <c r="E125" s="52">
        <v>9.9499999999999993</v>
      </c>
      <c r="F125" s="52">
        <v>9.9499999999999993</v>
      </c>
      <c r="G125" s="52"/>
      <c r="H125" s="52"/>
      <c r="I125" s="52"/>
      <c r="J125" s="52"/>
      <c r="K125" s="52"/>
      <c r="L125" s="52">
        <v>38.9</v>
      </c>
      <c r="M125" s="52">
        <v>655.79</v>
      </c>
      <c r="N125" s="52"/>
      <c r="O125" s="52"/>
      <c r="P125" s="52">
        <v>40</v>
      </c>
      <c r="Q125" s="52"/>
      <c r="R125" s="52">
        <v>84.9</v>
      </c>
      <c r="S125" s="52"/>
      <c r="T125" s="52">
        <v>218.96</v>
      </c>
      <c r="U125" s="52"/>
      <c r="V125" s="52"/>
      <c r="W125" s="52"/>
      <c r="X125" s="52"/>
      <c r="Y125" s="52"/>
      <c r="Z125" s="52">
        <v>12.99</v>
      </c>
      <c r="AA125" s="52">
        <v>0</v>
      </c>
      <c r="AB125" s="52">
        <v>2638</v>
      </c>
    </row>
    <row r="126" spans="1:28" x14ac:dyDescent="0.25">
      <c r="A126" s="51">
        <v>8620</v>
      </c>
      <c r="B126" s="52"/>
      <c r="C126" s="52">
        <v>43.6</v>
      </c>
      <c r="D126" s="52"/>
      <c r="E126" s="52"/>
      <c r="F126" s="52"/>
      <c r="G126" s="52"/>
      <c r="H126" s="52"/>
      <c r="I126" s="52"/>
      <c r="J126" s="52"/>
      <c r="K126" s="52"/>
      <c r="L126" s="52"/>
      <c r="M126" s="52">
        <v>278.89999999999998</v>
      </c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>
        <v>0</v>
      </c>
      <c r="AB126" s="52">
        <v>322.5</v>
      </c>
    </row>
    <row r="127" spans="1:28" x14ac:dyDescent="0.25">
      <c r="A127" s="51">
        <v>8710</v>
      </c>
      <c r="B127" s="52"/>
      <c r="C127" s="52"/>
      <c r="D127" s="52">
        <v>1476</v>
      </c>
      <c r="E127" s="52">
        <v>55712.66</v>
      </c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>
        <v>0</v>
      </c>
      <c r="AB127" s="52">
        <v>57188.66</v>
      </c>
    </row>
    <row r="128" spans="1:28" x14ac:dyDescent="0.25">
      <c r="A128" s="51">
        <v>8715</v>
      </c>
      <c r="B128" s="52"/>
      <c r="C128" s="52">
        <v>2500</v>
      </c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>
        <v>0</v>
      </c>
      <c r="AB128" s="52">
        <v>2500</v>
      </c>
    </row>
    <row r="129" spans="1:28" x14ac:dyDescent="0.25">
      <c r="A129" s="51">
        <v>8720</v>
      </c>
      <c r="B129" s="52">
        <v>38961.449999999997</v>
      </c>
      <c r="C129" s="52">
        <v>5280.92</v>
      </c>
      <c r="D129" s="52">
        <v>151.84</v>
      </c>
      <c r="E129" s="52">
        <v>1867.82</v>
      </c>
      <c r="F129" s="52">
        <v>42</v>
      </c>
      <c r="G129" s="52"/>
      <c r="H129" s="52">
        <v>575</v>
      </c>
      <c r="I129" s="52">
        <v>729.97</v>
      </c>
      <c r="J129" s="52"/>
      <c r="K129" s="52"/>
      <c r="L129" s="52"/>
      <c r="M129" s="52">
        <v>-18.3</v>
      </c>
      <c r="N129" s="52">
        <v>5393.25</v>
      </c>
      <c r="O129" s="52">
        <v>475.62</v>
      </c>
      <c r="P129" s="52">
        <v>2734.96</v>
      </c>
      <c r="Q129" s="52"/>
      <c r="R129" s="52"/>
      <c r="S129" s="52"/>
      <c r="T129" s="52">
        <v>928.07</v>
      </c>
      <c r="U129" s="52"/>
      <c r="V129" s="52"/>
      <c r="W129" s="52">
        <v>1331.25</v>
      </c>
      <c r="X129" s="52">
        <v>21475.75</v>
      </c>
      <c r="Y129" s="52">
        <v>199.34</v>
      </c>
      <c r="Z129" s="52"/>
      <c r="AA129" s="52">
        <v>0</v>
      </c>
      <c r="AB129" s="52">
        <v>80128.939999999988</v>
      </c>
    </row>
    <row r="130" spans="1:28" x14ac:dyDescent="0.25">
      <c r="A130" s="51">
        <v>8725</v>
      </c>
      <c r="B130" s="52">
        <v>1001.42</v>
      </c>
      <c r="C130" s="52">
        <v>1673.33</v>
      </c>
      <c r="D130" s="52"/>
      <c r="E130" s="52"/>
      <c r="F130" s="52">
        <v>65</v>
      </c>
      <c r="G130" s="52"/>
      <c r="H130" s="52">
        <v>18182.830000000002</v>
      </c>
      <c r="I130" s="52">
        <v>9611.83</v>
      </c>
      <c r="J130" s="52"/>
      <c r="K130" s="52"/>
      <c r="L130" s="52"/>
      <c r="M130" s="52">
        <v>2485</v>
      </c>
      <c r="N130" s="52">
        <v>67076.73</v>
      </c>
      <c r="O130" s="52">
        <v>13431.14</v>
      </c>
      <c r="P130" s="52">
        <v>49404.55</v>
      </c>
      <c r="Q130" s="52"/>
      <c r="R130" s="52">
        <v>-1081.33</v>
      </c>
      <c r="S130" s="52"/>
      <c r="T130" s="52">
        <v>86545.56</v>
      </c>
      <c r="U130" s="52"/>
      <c r="V130" s="52">
        <v>200</v>
      </c>
      <c r="W130" s="52">
        <v>114830.5</v>
      </c>
      <c r="X130" s="52">
        <v>118813.55</v>
      </c>
      <c r="Y130" s="52">
        <v>4783.0600000000004</v>
      </c>
      <c r="Z130" s="52">
        <v>188.34</v>
      </c>
      <c r="AA130" s="52">
        <v>-39.380000000000003</v>
      </c>
      <c r="AB130" s="52">
        <v>487172.13000000006</v>
      </c>
    </row>
    <row r="131" spans="1:28" x14ac:dyDescent="0.25">
      <c r="A131" s="51">
        <v>8800</v>
      </c>
      <c r="B131" s="52"/>
      <c r="C131" s="52"/>
      <c r="D131" s="52"/>
      <c r="E131" s="52"/>
      <c r="F131" s="52"/>
      <c r="G131" s="52"/>
      <c r="H131" s="52">
        <v>1783.32</v>
      </c>
      <c r="I131" s="52">
        <v>371.77</v>
      </c>
      <c r="J131" s="52"/>
      <c r="K131" s="52"/>
      <c r="L131" s="52"/>
      <c r="M131" s="52">
        <v>55641.66</v>
      </c>
      <c r="N131" s="52">
        <v>78678.06</v>
      </c>
      <c r="O131" s="52">
        <v>382073.23</v>
      </c>
      <c r="P131" s="52">
        <v>850435.55</v>
      </c>
      <c r="Q131" s="52">
        <v>59254.43</v>
      </c>
      <c r="R131" s="52">
        <v>15838.24</v>
      </c>
      <c r="S131" s="52"/>
      <c r="T131" s="52">
        <v>80314.570000000007</v>
      </c>
      <c r="U131" s="52"/>
      <c r="V131" s="52">
        <v>38035.58</v>
      </c>
      <c r="W131" s="52">
        <v>10971.18</v>
      </c>
      <c r="X131" s="52">
        <v>525.03</v>
      </c>
      <c r="Y131" s="52">
        <v>155.44</v>
      </c>
      <c r="Z131" s="52"/>
      <c r="AA131" s="52">
        <v>16.02</v>
      </c>
      <c r="AB131" s="52">
        <v>1574094.08</v>
      </c>
    </row>
    <row r="132" spans="1:28" x14ac:dyDescent="0.25">
      <c r="A132" s="51">
        <v>8805</v>
      </c>
      <c r="B132" s="52"/>
      <c r="C132" s="52"/>
      <c r="D132" s="52"/>
      <c r="E132" s="52"/>
      <c r="F132" s="52"/>
      <c r="G132" s="52"/>
      <c r="H132" s="52">
        <v>21.91</v>
      </c>
      <c r="I132" s="52"/>
      <c r="J132" s="52"/>
      <c r="K132" s="52"/>
      <c r="L132" s="52"/>
      <c r="M132" s="52">
        <v>881.61</v>
      </c>
      <c r="N132" s="52"/>
      <c r="O132" s="52">
        <v>8898.77</v>
      </c>
      <c r="P132" s="52">
        <v>41784.97</v>
      </c>
      <c r="Q132" s="52">
        <v>331.28</v>
      </c>
      <c r="R132" s="52">
        <v>1134.92</v>
      </c>
      <c r="S132" s="52"/>
      <c r="T132" s="52"/>
      <c r="U132" s="52"/>
      <c r="V132" s="52"/>
      <c r="W132" s="52"/>
      <c r="X132" s="52"/>
      <c r="Y132" s="52"/>
      <c r="Z132" s="52"/>
      <c r="AA132" s="52">
        <v>0</v>
      </c>
      <c r="AB132" s="52">
        <v>53053.46</v>
      </c>
    </row>
    <row r="133" spans="1:28" x14ac:dyDescent="0.25">
      <c r="A133" s="51">
        <v>8810</v>
      </c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>
        <v>201.63</v>
      </c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>
        <v>0</v>
      </c>
      <c r="AB133" s="52">
        <v>201.63</v>
      </c>
    </row>
    <row r="134" spans="1:28" x14ac:dyDescent="0.25">
      <c r="A134" s="51">
        <v>8899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52">
        <v>90.09</v>
      </c>
      <c r="L134" s="52"/>
      <c r="M134" s="52"/>
      <c r="N134" s="52"/>
      <c r="O134" s="52">
        <v>76749.440000000002</v>
      </c>
      <c r="P134" s="52">
        <v>92307.83</v>
      </c>
      <c r="Q134" s="52"/>
      <c r="R134" s="52"/>
      <c r="S134" s="52"/>
      <c r="T134" s="52">
        <v>1571649.59</v>
      </c>
      <c r="U134" s="52"/>
      <c r="V134" s="52"/>
      <c r="W134" s="52">
        <v>1087.5</v>
      </c>
      <c r="X134" s="52"/>
      <c r="Y134" s="52"/>
      <c r="Z134" s="52"/>
      <c r="AA134" s="52">
        <v>1009.8</v>
      </c>
      <c r="AB134" s="52">
        <v>1742894.2500000002</v>
      </c>
    </row>
    <row r="135" spans="1:28" x14ac:dyDescent="0.25">
      <c r="A135" s="51">
        <v>8900</v>
      </c>
      <c r="B135" s="52"/>
      <c r="C135" s="52"/>
      <c r="D135" s="52"/>
      <c r="E135" s="52">
        <v>-7295283.0700000003</v>
      </c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>
        <v>0</v>
      </c>
      <c r="AB135" s="52">
        <v>-7295283.0700000003</v>
      </c>
    </row>
    <row r="136" spans="1:28" x14ac:dyDescent="0.25">
      <c r="A136" s="51">
        <v>8905</v>
      </c>
      <c r="B136" s="52"/>
      <c r="C136" s="52">
        <v>108352.09</v>
      </c>
      <c r="D136" s="52">
        <v>135234.82999999999</v>
      </c>
      <c r="E136" s="52"/>
      <c r="F136" s="52">
        <v>161309.03</v>
      </c>
      <c r="G136" s="52"/>
      <c r="H136" s="52"/>
      <c r="I136" s="52"/>
      <c r="J136" s="52">
        <v>27719.85</v>
      </c>
      <c r="K136" s="52"/>
      <c r="L136" s="52">
        <v>29429.32</v>
      </c>
      <c r="M136" s="52">
        <v>60741.48</v>
      </c>
      <c r="N136" s="52">
        <v>332817.46999999997</v>
      </c>
      <c r="O136" s="52">
        <v>403727.95</v>
      </c>
      <c r="P136" s="52">
        <v>1316657.4099999999</v>
      </c>
      <c r="Q136" s="52">
        <v>42698.84</v>
      </c>
      <c r="R136" s="52">
        <v>207780.3</v>
      </c>
      <c r="S136" s="52">
        <v>17521.04</v>
      </c>
      <c r="T136" s="52">
        <v>1114659.94</v>
      </c>
      <c r="U136" s="52"/>
      <c r="V136" s="52">
        <v>27692.41</v>
      </c>
      <c r="W136" s="52">
        <v>2444461.13</v>
      </c>
      <c r="X136" s="52"/>
      <c r="Y136" s="52">
        <v>499788.97</v>
      </c>
      <c r="Z136" s="52">
        <v>364691.01</v>
      </c>
      <c r="AA136" s="52">
        <v>0</v>
      </c>
      <c r="AB136" s="52">
        <v>7295283.0699999994</v>
      </c>
    </row>
    <row r="137" spans="1:28" x14ac:dyDescent="0.25">
      <c r="A137" s="51">
        <v>8910</v>
      </c>
      <c r="B137" s="52"/>
      <c r="C137" s="52"/>
      <c r="D137" s="52"/>
      <c r="E137" s="52"/>
      <c r="F137" s="52"/>
      <c r="G137" s="52"/>
      <c r="H137" s="52"/>
      <c r="I137" s="52">
        <v>-7836991.5300000003</v>
      </c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>
        <v>0</v>
      </c>
      <c r="AB137" s="52">
        <v>-7836991.5300000003</v>
      </c>
    </row>
    <row r="138" spans="1:28" x14ac:dyDescent="0.25">
      <c r="A138" s="51">
        <v>8915</v>
      </c>
      <c r="B138" s="52"/>
      <c r="C138" s="52">
        <v>112546.76</v>
      </c>
      <c r="D138" s="52">
        <v>133444.65</v>
      </c>
      <c r="E138" s="52">
        <v>261610.14</v>
      </c>
      <c r="F138" s="52">
        <v>164973.15</v>
      </c>
      <c r="G138" s="52"/>
      <c r="H138" s="52">
        <v>154933.12</v>
      </c>
      <c r="I138" s="52"/>
      <c r="J138" s="52">
        <v>24250.52</v>
      </c>
      <c r="K138" s="52"/>
      <c r="L138" s="52">
        <v>32281.29</v>
      </c>
      <c r="M138" s="52"/>
      <c r="N138" s="52">
        <v>340652.12</v>
      </c>
      <c r="O138" s="52">
        <v>399408.35</v>
      </c>
      <c r="P138" s="52">
        <v>1323214.32</v>
      </c>
      <c r="Q138" s="52">
        <v>42902.559999999998</v>
      </c>
      <c r="R138" s="52">
        <v>214681.29</v>
      </c>
      <c r="S138" s="52">
        <v>19315.46</v>
      </c>
      <c r="T138" s="52">
        <v>1160552.69</v>
      </c>
      <c r="U138" s="52"/>
      <c r="V138" s="52">
        <v>28731.16</v>
      </c>
      <c r="W138" s="52">
        <v>2535399.7400000002</v>
      </c>
      <c r="X138" s="52"/>
      <c r="Y138" s="52">
        <v>509847.57</v>
      </c>
      <c r="Z138" s="52">
        <v>378246.64</v>
      </c>
      <c r="AA138" s="52">
        <v>0</v>
      </c>
      <c r="AB138" s="52">
        <v>7836991.5300000003</v>
      </c>
    </row>
    <row r="139" spans="1:28" x14ac:dyDescent="0.25">
      <c r="A139" s="51">
        <v>8920</v>
      </c>
      <c r="B139" s="52"/>
      <c r="C139" s="52"/>
      <c r="D139" s="52"/>
      <c r="E139" s="52"/>
      <c r="F139" s="52"/>
      <c r="G139" s="52"/>
      <c r="H139" s="52">
        <v>-2411493.06</v>
      </c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>
        <v>0</v>
      </c>
      <c r="AB139" s="52">
        <v>-2411493.06</v>
      </c>
    </row>
    <row r="140" spans="1:28" x14ac:dyDescent="0.25">
      <c r="A140" s="51">
        <v>8925</v>
      </c>
      <c r="B140" s="52"/>
      <c r="C140" s="52">
        <v>35454.870000000003</v>
      </c>
      <c r="D140" s="52">
        <v>44523.24</v>
      </c>
      <c r="E140" s="52"/>
      <c r="F140" s="52">
        <v>52330.69</v>
      </c>
      <c r="G140" s="52"/>
      <c r="H140" s="52"/>
      <c r="I140" s="52"/>
      <c r="J140" s="52">
        <v>9190.44</v>
      </c>
      <c r="K140" s="52"/>
      <c r="L140" s="52">
        <v>9693.1</v>
      </c>
      <c r="M140" s="52">
        <v>34287.82</v>
      </c>
      <c r="N140" s="52">
        <v>108812.65</v>
      </c>
      <c r="O140" s="52">
        <v>133150.1</v>
      </c>
      <c r="P140" s="52">
        <v>436636.01</v>
      </c>
      <c r="Q140" s="52">
        <v>14019.25</v>
      </c>
      <c r="R140" s="52">
        <v>68385.100000000006</v>
      </c>
      <c r="S140" s="52">
        <v>5780.49</v>
      </c>
      <c r="T140" s="52">
        <v>365241.98</v>
      </c>
      <c r="U140" s="52"/>
      <c r="V140" s="52">
        <v>9070.9500000000007</v>
      </c>
      <c r="W140" s="52">
        <v>801170.08</v>
      </c>
      <c r="X140" s="52"/>
      <c r="Y140" s="52">
        <v>164333.29999999999</v>
      </c>
      <c r="Z140" s="52">
        <v>119412.99</v>
      </c>
      <c r="AA140" s="52">
        <v>0</v>
      </c>
      <c r="AB140" s="52">
        <v>2411493.06</v>
      </c>
    </row>
    <row r="141" spans="1:28" x14ac:dyDescent="0.25">
      <c r="A141" s="51">
        <v>9100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>
        <v>-366536.4</v>
      </c>
      <c r="AB141" s="52">
        <v>-366536.4</v>
      </c>
    </row>
    <row r="142" spans="1:28" x14ac:dyDescent="0.25">
      <c r="A142" s="51">
        <v>9105</v>
      </c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>
        <v>382528.04</v>
      </c>
      <c r="AB142" s="52">
        <v>382528.04</v>
      </c>
    </row>
    <row r="143" spans="1:28" x14ac:dyDescent="0.25">
      <c r="A143" s="51">
        <v>9500</v>
      </c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>
        <v>800</v>
      </c>
      <c r="AB143" s="52">
        <v>800</v>
      </c>
    </row>
    <row r="144" spans="1:28" x14ac:dyDescent="0.25">
      <c r="A144" s="51">
        <v>9987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>
        <v>25</v>
      </c>
      <c r="AB144" s="52">
        <v>25</v>
      </c>
    </row>
    <row r="145" spans="1:28" x14ac:dyDescent="0.25">
      <c r="A145" s="51">
        <v>9991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>
        <v>99.97</v>
      </c>
      <c r="AB145" s="52">
        <v>99.97</v>
      </c>
    </row>
    <row r="146" spans="1:28" x14ac:dyDescent="0.25">
      <c r="A146" s="51">
        <v>9996</v>
      </c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>
        <v>0.05</v>
      </c>
      <c r="AB146" s="52">
        <v>0.05</v>
      </c>
    </row>
    <row r="147" spans="1:28" x14ac:dyDescent="0.25">
      <c r="A147" s="51">
        <v>9999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>
        <v>3.27</v>
      </c>
      <c r="O147" s="52"/>
      <c r="P147" s="52"/>
      <c r="Q147" s="52"/>
      <c r="R147" s="52"/>
      <c r="S147" s="52"/>
      <c r="T147" s="52"/>
      <c r="U147" s="52"/>
      <c r="V147" s="52"/>
      <c r="W147" s="52">
        <v>4250</v>
      </c>
      <c r="X147" s="52">
        <v>4250</v>
      </c>
      <c r="Y147" s="52"/>
      <c r="Z147" s="52"/>
      <c r="AA147" s="52">
        <v>-107623.93</v>
      </c>
      <c r="AB147" s="52">
        <v>-99120.659999999989</v>
      </c>
    </row>
    <row r="148" spans="1:28" x14ac:dyDescent="0.25">
      <c r="A148" s="51" t="s">
        <v>420</v>
      </c>
      <c r="B148" s="52">
        <v>374047.42</v>
      </c>
      <c r="C148" s="52">
        <v>4129566.45</v>
      </c>
      <c r="D148" s="52">
        <v>943155.2699999999</v>
      </c>
      <c r="E148" s="52">
        <v>3.9999999455176294E-2</v>
      </c>
      <c r="F148" s="52">
        <v>10404207.989999996</v>
      </c>
      <c r="G148" s="52">
        <v>11500</v>
      </c>
      <c r="H148" s="52">
        <v>4.000000050291419E-2</v>
      </c>
      <c r="I148" s="52">
        <v>-4.9999999813735485E-2</v>
      </c>
      <c r="J148" s="52">
        <v>6735172.8999999994</v>
      </c>
      <c r="K148" s="52">
        <v>1414787.49</v>
      </c>
      <c r="L148" s="52">
        <v>313200.58999999991</v>
      </c>
      <c r="M148" s="52">
        <v>909701.55</v>
      </c>
      <c r="N148" s="52">
        <v>3803413.4899999993</v>
      </c>
      <c r="O148" s="52">
        <v>3150242.7</v>
      </c>
      <c r="P148" s="52">
        <v>13730453.410000006</v>
      </c>
      <c r="Q148" s="52">
        <v>383611.28000000009</v>
      </c>
      <c r="R148" s="52">
        <v>1687736.5999999999</v>
      </c>
      <c r="S148" s="52">
        <v>150236.72999999998</v>
      </c>
      <c r="T148" s="52">
        <v>13999362.160000002</v>
      </c>
      <c r="U148" s="52">
        <v>48829.82</v>
      </c>
      <c r="V148" s="52">
        <v>359810.7</v>
      </c>
      <c r="W148" s="52">
        <v>17203168.380000003</v>
      </c>
      <c r="X148" s="52">
        <v>4350736.5699999994</v>
      </c>
      <c r="Y148" s="52">
        <v>5485266.0300000012</v>
      </c>
      <c r="Z148" s="52">
        <v>2511044.27</v>
      </c>
      <c r="AA148" s="52">
        <v>-80551.990000000005</v>
      </c>
      <c r="AB148" s="52">
        <v>92018699.839999944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55"/>
  <sheetViews>
    <sheetView topLeftCell="A95" workbookViewId="0">
      <selection activeCell="D111" sqref="D111"/>
    </sheetView>
  </sheetViews>
  <sheetFormatPr defaultRowHeight="15" x14ac:dyDescent="0.25"/>
  <cols>
    <col min="2" max="2" width="27" customWidth="1"/>
    <col min="3" max="3" width="15.28515625" style="4" bestFit="1" customWidth="1"/>
    <col min="4" max="4" width="21" style="4" bestFit="1" customWidth="1"/>
    <col min="5" max="6" width="19.140625" customWidth="1"/>
    <col min="7" max="7" width="21" bestFit="1" customWidth="1"/>
    <col min="9" max="9" width="16.140625" customWidth="1"/>
    <col min="10" max="10" width="0.85546875" customWidth="1"/>
    <col min="11" max="11" width="15.28515625" bestFit="1" customWidth="1"/>
    <col min="12" max="12" width="11.5703125" bestFit="1" customWidth="1"/>
  </cols>
  <sheetData>
    <row r="1" spans="1:11" x14ac:dyDescent="0.25">
      <c r="A1" t="s">
        <v>0</v>
      </c>
      <c r="C1" s="4" t="s">
        <v>2</v>
      </c>
      <c r="E1" t="s">
        <v>301</v>
      </c>
    </row>
    <row r="2" spans="1:11" x14ac:dyDescent="0.25">
      <c r="A2" t="s">
        <v>4</v>
      </c>
      <c r="C2" s="4" t="s">
        <v>6</v>
      </c>
      <c r="E2" t="s">
        <v>302</v>
      </c>
    </row>
    <row r="4" spans="1:11" x14ac:dyDescent="0.25">
      <c r="A4" t="s">
        <v>8</v>
      </c>
    </row>
    <row r="8" spans="1:11" x14ac:dyDescent="0.25">
      <c r="E8" t="s">
        <v>303</v>
      </c>
    </row>
    <row r="9" spans="1:11" ht="30" x14ac:dyDescent="0.25">
      <c r="A9" t="s">
        <v>267</v>
      </c>
      <c r="B9" t="s">
        <v>268</v>
      </c>
      <c r="C9" t="s">
        <v>16</v>
      </c>
      <c r="D9" t="s">
        <v>307</v>
      </c>
      <c r="E9" t="s">
        <v>304</v>
      </c>
      <c r="F9" t="s">
        <v>414</v>
      </c>
      <c r="G9" t="s">
        <v>308</v>
      </c>
      <c r="I9" s="39" t="s">
        <v>305</v>
      </c>
      <c r="J9" s="39"/>
      <c r="K9" s="39" t="s">
        <v>409</v>
      </c>
    </row>
    <row r="10" spans="1:11" s="42" customFormat="1" x14ac:dyDescent="0.25">
      <c r="A10" s="43">
        <v>1011</v>
      </c>
      <c r="B10" s="43" t="s">
        <v>359</v>
      </c>
      <c r="C10" s="43">
        <v>0</v>
      </c>
      <c r="D10" s="4"/>
      <c r="I10" s="40"/>
      <c r="J10" s="40"/>
      <c r="K10" s="40">
        <v>4080.92</v>
      </c>
    </row>
    <row r="11" spans="1:11" s="42" customFormat="1" x14ac:dyDescent="0.25">
      <c r="A11" s="42">
        <v>1025</v>
      </c>
      <c r="B11" s="42" t="s">
        <v>22</v>
      </c>
      <c r="C11" s="4">
        <v>17423180.960000001</v>
      </c>
      <c r="D11" s="4"/>
      <c r="I11" s="40">
        <f t="shared" ref="I11:I16" si="0">SUM(C11:H11)</f>
        <v>17423180.960000001</v>
      </c>
      <c r="J11" s="40"/>
      <c r="K11" s="40">
        <v>5436016.8399999999</v>
      </c>
    </row>
    <row r="12" spans="1:11" s="42" customFormat="1" x14ac:dyDescent="0.25">
      <c r="A12" s="42">
        <v>1026</v>
      </c>
      <c r="B12" s="42" t="s">
        <v>23</v>
      </c>
      <c r="C12" s="4">
        <v>-300714.89</v>
      </c>
      <c r="D12" s="4"/>
      <c r="I12" s="40">
        <f t="shared" si="0"/>
        <v>-300714.89</v>
      </c>
      <c r="J12" s="40"/>
      <c r="K12" s="40">
        <v>0</v>
      </c>
    </row>
    <row r="13" spans="1:11" s="42" customFormat="1" x14ac:dyDescent="0.25">
      <c r="A13" s="42">
        <v>1040</v>
      </c>
      <c r="B13" s="42" t="s">
        <v>25</v>
      </c>
      <c r="C13" s="4">
        <v>1612595.66</v>
      </c>
      <c r="D13" s="4"/>
      <c r="I13" s="40">
        <f t="shared" si="0"/>
        <v>1612595.66</v>
      </c>
      <c r="J13" s="40"/>
      <c r="K13" s="40">
        <v>4375219.6100000003</v>
      </c>
    </row>
    <row r="14" spans="1:11" s="42" customFormat="1" x14ac:dyDescent="0.25">
      <c r="A14" s="42">
        <v>1045</v>
      </c>
      <c r="B14" s="42" t="s">
        <v>26</v>
      </c>
      <c r="C14" s="4">
        <v>5507844.9800000004</v>
      </c>
      <c r="D14" s="4"/>
      <c r="I14" s="40">
        <f t="shared" si="0"/>
        <v>5507844.9800000004</v>
      </c>
      <c r="J14" s="40"/>
      <c r="K14" s="40">
        <v>502073.02</v>
      </c>
    </row>
    <row r="15" spans="1:11" s="42" customFormat="1" x14ac:dyDescent="0.25">
      <c r="A15" s="42">
        <v>1050</v>
      </c>
      <c r="B15" s="42" t="s">
        <v>27</v>
      </c>
      <c r="C15" s="4">
        <v>21451.93</v>
      </c>
      <c r="D15" s="4"/>
      <c r="I15" s="40">
        <f t="shared" si="0"/>
        <v>21451.93</v>
      </c>
      <c r="J15" s="40"/>
      <c r="K15" s="40">
        <v>2463.62</v>
      </c>
    </row>
    <row r="16" spans="1:11" s="42" customFormat="1" x14ac:dyDescent="0.25">
      <c r="A16" s="42">
        <v>1070</v>
      </c>
      <c r="B16" s="42" t="s">
        <v>28</v>
      </c>
      <c r="C16" s="4">
        <v>5498975</v>
      </c>
      <c r="D16" s="4"/>
      <c r="I16" s="40">
        <f t="shared" si="0"/>
        <v>5498975</v>
      </c>
      <c r="J16" s="40"/>
      <c r="K16" s="40">
        <v>2258935.06</v>
      </c>
    </row>
    <row r="17" spans="1:11" s="42" customFormat="1" x14ac:dyDescent="0.25">
      <c r="A17" s="43">
        <v>1071</v>
      </c>
      <c r="B17" s="43" t="s">
        <v>360</v>
      </c>
      <c r="C17" s="43">
        <v>0</v>
      </c>
      <c r="D17" s="4"/>
      <c r="I17" s="40"/>
      <c r="J17" s="40"/>
      <c r="K17" s="40">
        <v>37991820</v>
      </c>
    </row>
    <row r="18" spans="1:11" s="42" customFormat="1" x14ac:dyDescent="0.25">
      <c r="A18" s="42">
        <v>1806</v>
      </c>
      <c r="B18" s="42" t="s">
        <v>77</v>
      </c>
      <c r="C18" s="4">
        <v>1202821.2</v>
      </c>
      <c r="D18" s="4"/>
      <c r="I18" s="40">
        <f>SUM(C18:H18)</f>
        <v>1202821.2</v>
      </c>
      <c r="J18" s="40"/>
      <c r="K18" s="40">
        <v>1214668.3999999999</v>
      </c>
    </row>
    <row r="19" spans="1:11" s="42" customFormat="1" x14ac:dyDescent="0.25">
      <c r="A19" s="43">
        <v>1110</v>
      </c>
      <c r="B19" s="43" t="s">
        <v>361</v>
      </c>
      <c r="C19" s="43">
        <v>0</v>
      </c>
      <c r="D19" s="4"/>
      <c r="I19" s="40"/>
      <c r="J19" s="40"/>
      <c r="K19" s="40">
        <v>0</v>
      </c>
    </row>
    <row r="20" spans="1:11" s="42" customFormat="1" x14ac:dyDescent="0.25">
      <c r="A20" s="42">
        <v>1200</v>
      </c>
      <c r="B20" s="42" t="s">
        <v>30</v>
      </c>
      <c r="C20" s="4">
        <v>7454751</v>
      </c>
      <c r="D20" s="4"/>
      <c r="I20" s="40">
        <f>SUM(C20:H20)</f>
        <v>7454751</v>
      </c>
      <c r="J20" s="40"/>
      <c r="K20" s="40">
        <v>0</v>
      </c>
    </row>
    <row r="21" spans="1:11" s="42" customFormat="1" x14ac:dyDescent="0.25">
      <c r="A21" s="42">
        <v>1210</v>
      </c>
      <c r="B21" s="42" t="s">
        <v>31</v>
      </c>
      <c r="C21" s="4">
        <v>345123.2</v>
      </c>
      <c r="D21" s="4"/>
      <c r="I21" s="40">
        <f>SUM(C21:H21)</f>
        <v>345123.2</v>
      </c>
      <c r="J21" s="40"/>
      <c r="K21" s="40">
        <v>0</v>
      </c>
    </row>
    <row r="22" spans="1:11" s="42" customFormat="1" x14ac:dyDescent="0.25">
      <c r="A22" s="43">
        <v>1215</v>
      </c>
      <c r="B22" s="43" t="s">
        <v>362</v>
      </c>
      <c r="C22" s="43">
        <v>0</v>
      </c>
      <c r="D22" s="4"/>
      <c r="I22" s="40"/>
      <c r="J22" s="40"/>
      <c r="K22" s="40">
        <v>0</v>
      </c>
    </row>
    <row r="23" spans="1:11" s="42" customFormat="1" x14ac:dyDescent="0.25">
      <c r="A23" s="43">
        <v>1220</v>
      </c>
      <c r="B23" s="43" t="s">
        <v>363</v>
      </c>
      <c r="C23" s="43">
        <v>0</v>
      </c>
      <c r="D23" s="4"/>
      <c r="I23" s="40"/>
      <c r="J23" s="40"/>
      <c r="K23" s="40">
        <v>4930377.58</v>
      </c>
    </row>
    <row r="24" spans="1:11" s="42" customFormat="1" x14ac:dyDescent="0.25">
      <c r="A24" s="42">
        <v>1230</v>
      </c>
      <c r="B24" s="42" t="s">
        <v>32</v>
      </c>
      <c r="C24" s="4">
        <v>108342.57</v>
      </c>
      <c r="D24" s="4">
        <v>-94273.47</v>
      </c>
      <c r="G24" s="45">
        <f>-C24-D24</f>
        <v>-14069.100000000006</v>
      </c>
      <c r="I24" s="40">
        <f t="shared" ref="I24:I37" si="1">SUM(C24:H24)</f>
        <v>0</v>
      </c>
      <c r="J24" s="40"/>
      <c r="K24" s="40">
        <v>0</v>
      </c>
    </row>
    <row r="25" spans="1:11" s="42" customFormat="1" x14ac:dyDescent="0.25">
      <c r="A25" s="42">
        <v>1240</v>
      </c>
      <c r="B25" s="42" t="s">
        <v>33</v>
      </c>
      <c r="C25" s="4">
        <v>44257.15</v>
      </c>
      <c r="D25" s="4"/>
      <c r="G25" s="45">
        <f>-C25</f>
        <v>-44257.15</v>
      </c>
      <c r="I25" s="40">
        <f t="shared" si="1"/>
        <v>0</v>
      </c>
      <c r="J25" s="40"/>
      <c r="K25" s="40">
        <v>0</v>
      </c>
    </row>
    <row r="26" spans="1:11" s="42" customFormat="1" x14ac:dyDescent="0.25">
      <c r="A26" s="42">
        <v>1250</v>
      </c>
      <c r="B26" s="42" t="s">
        <v>34</v>
      </c>
      <c r="C26" s="4">
        <v>-186.68</v>
      </c>
      <c r="D26" s="4"/>
      <c r="G26" s="45">
        <f>-C26</f>
        <v>186.68</v>
      </c>
      <c r="I26" s="40">
        <f t="shared" si="1"/>
        <v>0</v>
      </c>
      <c r="J26" s="40"/>
      <c r="K26" s="40">
        <v>0</v>
      </c>
    </row>
    <row r="27" spans="1:11" s="42" customFormat="1" x14ac:dyDescent="0.25">
      <c r="A27" s="42">
        <v>1260</v>
      </c>
      <c r="B27" s="42" t="s">
        <v>35</v>
      </c>
      <c r="C27" s="4">
        <v>-32708.6</v>
      </c>
      <c r="D27" s="4"/>
      <c r="G27" s="45">
        <f>-C27</f>
        <v>32708.6</v>
      </c>
      <c r="I27" s="40">
        <f t="shared" si="1"/>
        <v>0</v>
      </c>
      <c r="J27" s="40"/>
      <c r="K27" s="40">
        <v>0</v>
      </c>
    </row>
    <row r="28" spans="1:11" s="42" customFormat="1" x14ac:dyDescent="0.25">
      <c r="A28" s="42">
        <v>1270</v>
      </c>
      <c r="B28" s="42" t="s">
        <v>36</v>
      </c>
      <c r="C28" s="4">
        <v>-10190.77</v>
      </c>
      <c r="D28" s="4"/>
      <c r="G28" s="45">
        <f>-C28</f>
        <v>10190.77</v>
      </c>
      <c r="I28" s="40">
        <f t="shared" si="1"/>
        <v>0</v>
      </c>
      <c r="J28" s="40"/>
      <c r="K28" s="40">
        <v>0</v>
      </c>
    </row>
    <row r="29" spans="1:11" s="42" customFormat="1" x14ac:dyDescent="0.25">
      <c r="A29" s="42">
        <v>1291</v>
      </c>
      <c r="B29" s="42" t="s">
        <v>37</v>
      </c>
      <c r="C29" s="4">
        <v>-4023263.9</v>
      </c>
      <c r="D29" s="4"/>
      <c r="I29" s="40">
        <f t="shared" si="1"/>
        <v>-4023263.9</v>
      </c>
      <c r="J29" s="40"/>
      <c r="K29" s="40">
        <v>-3197130.73</v>
      </c>
    </row>
    <row r="30" spans="1:11" s="42" customFormat="1" x14ac:dyDescent="0.25">
      <c r="A30" s="42">
        <v>1310</v>
      </c>
      <c r="B30" s="42" t="s">
        <v>38</v>
      </c>
      <c r="C30" s="4">
        <v>146779.98000000001</v>
      </c>
      <c r="D30" s="4"/>
      <c r="I30" s="40">
        <f t="shared" si="1"/>
        <v>146779.98000000001</v>
      </c>
      <c r="J30" s="40"/>
      <c r="K30" s="40">
        <v>218640.95</v>
      </c>
    </row>
    <row r="31" spans="1:11" s="42" customFormat="1" x14ac:dyDescent="0.25">
      <c r="A31" s="42">
        <v>1311</v>
      </c>
      <c r="B31" s="42" t="s">
        <v>39</v>
      </c>
      <c r="C31" s="4">
        <v>100503.83</v>
      </c>
      <c r="D31" s="4"/>
      <c r="I31" s="40">
        <f t="shared" si="1"/>
        <v>100503.83</v>
      </c>
      <c r="J31" s="40"/>
      <c r="K31" s="40">
        <v>235474.65</v>
      </c>
    </row>
    <row r="32" spans="1:11" s="42" customFormat="1" x14ac:dyDescent="0.25">
      <c r="A32" s="42">
        <v>1312</v>
      </c>
      <c r="B32" s="42" t="s">
        <v>40</v>
      </c>
      <c r="C32" s="4">
        <v>326386.89</v>
      </c>
      <c r="D32" s="4"/>
      <c r="I32" s="40">
        <f t="shared" si="1"/>
        <v>326386.89</v>
      </c>
      <c r="J32" s="40"/>
      <c r="K32" s="40">
        <v>300006.42</v>
      </c>
    </row>
    <row r="33" spans="1:11" s="42" customFormat="1" x14ac:dyDescent="0.25">
      <c r="A33" s="42">
        <v>1313</v>
      </c>
      <c r="B33" s="42" t="s">
        <v>41</v>
      </c>
      <c r="C33" s="4">
        <v>159039.12</v>
      </c>
      <c r="D33" s="4"/>
      <c r="I33" s="40">
        <f t="shared" si="1"/>
        <v>159039.12</v>
      </c>
      <c r="J33" s="40"/>
      <c r="K33" s="40">
        <v>37481.040000000001</v>
      </c>
    </row>
    <row r="34" spans="1:11" s="42" customFormat="1" x14ac:dyDescent="0.25">
      <c r="A34" s="42">
        <v>1314</v>
      </c>
      <c r="B34" s="42" t="s">
        <v>42</v>
      </c>
      <c r="C34" s="4">
        <v>379607.12</v>
      </c>
      <c r="D34" s="4"/>
      <c r="I34" s="40">
        <f t="shared" si="1"/>
        <v>379607.12</v>
      </c>
      <c r="J34" s="40"/>
      <c r="K34" s="40">
        <v>542466.05000000005</v>
      </c>
    </row>
    <row r="35" spans="1:11" s="42" customFormat="1" x14ac:dyDescent="0.25">
      <c r="A35" s="42">
        <v>1410</v>
      </c>
      <c r="B35" s="42" t="s">
        <v>43</v>
      </c>
      <c r="C35" s="4">
        <v>1381.79</v>
      </c>
      <c r="D35" s="4"/>
      <c r="I35" s="40">
        <f t="shared" si="1"/>
        <v>1381.79</v>
      </c>
      <c r="J35" s="40"/>
      <c r="K35" s="40">
        <v>12314.79</v>
      </c>
    </row>
    <row r="36" spans="1:11" s="42" customFormat="1" x14ac:dyDescent="0.25">
      <c r="A36" s="42">
        <v>1415</v>
      </c>
      <c r="B36" s="42" t="s">
        <v>44</v>
      </c>
      <c r="C36" s="4">
        <v>119105.95</v>
      </c>
      <c r="D36" s="4"/>
      <c r="I36" s="40">
        <f t="shared" si="1"/>
        <v>119105.95</v>
      </c>
      <c r="J36" s="40"/>
      <c r="K36" s="40">
        <v>391128.64</v>
      </c>
    </row>
    <row r="37" spans="1:11" s="42" customFormat="1" x14ac:dyDescent="0.25">
      <c r="A37" s="42">
        <v>1416</v>
      </c>
      <c r="B37" s="42" t="s">
        <v>45</v>
      </c>
      <c r="C37" s="4">
        <v>299325.53000000003</v>
      </c>
      <c r="D37" s="4"/>
      <c r="I37" s="40">
        <f t="shared" si="1"/>
        <v>299325.53000000003</v>
      </c>
      <c r="J37" s="40"/>
      <c r="K37" s="40">
        <v>1311.75</v>
      </c>
    </row>
    <row r="38" spans="1:11" s="42" customFormat="1" x14ac:dyDescent="0.25">
      <c r="A38" s="43">
        <v>1420</v>
      </c>
      <c r="B38" s="43" t="s">
        <v>364</v>
      </c>
      <c r="C38" s="43">
        <v>0</v>
      </c>
      <c r="D38" s="4"/>
      <c r="I38" s="40"/>
      <c r="J38" s="40"/>
      <c r="K38" s="40">
        <v>21409.48</v>
      </c>
    </row>
    <row r="39" spans="1:11" s="42" customFormat="1" x14ac:dyDescent="0.25">
      <c r="A39" s="42">
        <v>1422</v>
      </c>
      <c r="B39" s="42" t="s">
        <v>46</v>
      </c>
      <c r="C39" s="4">
        <v>-10253.700000000001</v>
      </c>
      <c r="D39" s="4"/>
      <c r="I39" s="40">
        <f t="shared" ref="I39:I53" si="2">SUM(C39:H39)</f>
        <v>-10253.700000000001</v>
      </c>
      <c r="J39" s="40"/>
      <c r="K39" s="40">
        <v>0.28999999999999998</v>
      </c>
    </row>
    <row r="40" spans="1:11" s="42" customFormat="1" x14ac:dyDescent="0.25">
      <c r="A40" s="42">
        <v>1520</v>
      </c>
      <c r="B40" s="42" t="s">
        <v>47</v>
      </c>
      <c r="C40" s="4">
        <v>89007.73</v>
      </c>
      <c r="D40" s="4"/>
      <c r="I40" s="40">
        <f t="shared" si="2"/>
        <v>89007.73</v>
      </c>
      <c r="J40" s="40"/>
      <c r="K40" s="40">
        <v>58472.25</v>
      </c>
    </row>
    <row r="41" spans="1:11" s="42" customFormat="1" x14ac:dyDescent="0.25">
      <c r="A41" s="42">
        <v>1526</v>
      </c>
      <c r="B41" s="42" t="s">
        <v>48</v>
      </c>
      <c r="C41" s="4">
        <v>161179.25</v>
      </c>
      <c r="D41" s="4"/>
      <c r="I41" s="40">
        <f t="shared" si="2"/>
        <v>161179.25</v>
      </c>
      <c r="J41" s="40"/>
      <c r="K41" s="40">
        <v>55373.71</v>
      </c>
    </row>
    <row r="42" spans="1:11" s="42" customFormat="1" x14ac:dyDescent="0.25">
      <c r="A42" s="42">
        <v>1535</v>
      </c>
      <c r="B42" s="42" t="s">
        <v>49</v>
      </c>
      <c r="C42" s="4">
        <v>5111.51</v>
      </c>
      <c r="D42" s="4"/>
      <c r="I42" s="40">
        <f t="shared" si="2"/>
        <v>5111.51</v>
      </c>
      <c r="J42" s="40"/>
      <c r="K42" s="40">
        <v>5111.51</v>
      </c>
    </row>
    <row r="43" spans="1:11" s="42" customFormat="1" x14ac:dyDescent="0.25">
      <c r="A43" s="42">
        <v>1610</v>
      </c>
      <c r="B43" s="42" t="s">
        <v>50</v>
      </c>
      <c r="C43" s="4">
        <v>10611314.710000001</v>
      </c>
      <c r="D43" s="4"/>
      <c r="I43" s="40">
        <f t="shared" si="2"/>
        <v>10611314.710000001</v>
      </c>
      <c r="J43" s="40"/>
      <c r="K43" s="40">
        <v>6079507.4000000004</v>
      </c>
    </row>
    <row r="44" spans="1:11" s="42" customFormat="1" x14ac:dyDescent="0.25">
      <c r="A44" s="42">
        <v>1611</v>
      </c>
      <c r="B44" s="42" t="s">
        <v>51</v>
      </c>
      <c r="C44" s="4">
        <v>11365841.539999999</v>
      </c>
      <c r="D44" s="4"/>
      <c r="I44" s="40">
        <f t="shared" si="2"/>
        <v>11365841.539999999</v>
      </c>
      <c r="J44" s="40"/>
      <c r="K44" s="40">
        <v>9474684.1799999997</v>
      </c>
    </row>
    <row r="45" spans="1:11" s="42" customFormat="1" x14ac:dyDescent="0.25">
      <c r="A45" s="42">
        <v>1612</v>
      </c>
      <c r="B45" s="42" t="s">
        <v>52</v>
      </c>
      <c r="C45" s="4">
        <v>1224586.99</v>
      </c>
      <c r="D45" s="4"/>
      <c r="I45" s="40">
        <f t="shared" si="2"/>
        <v>1224586.99</v>
      </c>
      <c r="J45" s="40"/>
      <c r="K45" s="40">
        <v>917832.28</v>
      </c>
    </row>
    <row r="46" spans="1:11" s="42" customFormat="1" x14ac:dyDescent="0.25">
      <c r="A46" s="42">
        <v>1615</v>
      </c>
      <c r="B46" s="42" t="s">
        <v>53</v>
      </c>
      <c r="C46" s="4">
        <v>141914.20000000001</v>
      </c>
      <c r="D46" s="4"/>
      <c r="I46" s="40">
        <f t="shared" si="2"/>
        <v>141914.20000000001</v>
      </c>
      <c r="J46" s="40"/>
      <c r="K46" s="40">
        <v>138724.96</v>
      </c>
    </row>
    <row r="47" spans="1:11" s="42" customFormat="1" x14ac:dyDescent="0.25">
      <c r="A47" s="42">
        <v>1620</v>
      </c>
      <c r="B47" s="42" t="s">
        <v>54</v>
      </c>
      <c r="C47" s="4">
        <v>520647.29</v>
      </c>
      <c r="D47" s="4"/>
      <c r="I47" s="40">
        <f t="shared" si="2"/>
        <v>520647.29</v>
      </c>
      <c r="J47" s="40"/>
      <c r="K47" s="40">
        <v>425728.01</v>
      </c>
    </row>
    <row r="48" spans="1:11" s="42" customFormat="1" x14ac:dyDescent="0.25">
      <c r="A48" s="42">
        <v>1625</v>
      </c>
      <c r="B48" s="42" t="s">
        <v>55</v>
      </c>
      <c r="C48" s="4">
        <v>1654815.98</v>
      </c>
      <c r="D48" s="4"/>
      <c r="I48" s="40">
        <f t="shared" si="2"/>
        <v>1654815.98</v>
      </c>
      <c r="J48" s="40"/>
      <c r="K48" s="40">
        <v>1188429.23</v>
      </c>
    </row>
    <row r="49" spans="1:11" s="42" customFormat="1" x14ac:dyDescent="0.25">
      <c r="A49" s="42">
        <v>1630</v>
      </c>
      <c r="B49" s="42" t="s">
        <v>56</v>
      </c>
      <c r="C49" s="4">
        <v>1280499.02</v>
      </c>
      <c r="D49" s="4"/>
      <c r="I49" s="40">
        <f t="shared" si="2"/>
        <v>1280499.02</v>
      </c>
      <c r="J49" s="40"/>
      <c r="K49" s="40">
        <v>1039538.16</v>
      </c>
    </row>
    <row r="50" spans="1:11" s="42" customFormat="1" x14ac:dyDescent="0.25">
      <c r="A50" s="42">
        <v>1635</v>
      </c>
      <c r="B50" s="42" t="s">
        <v>57</v>
      </c>
      <c r="C50" s="4">
        <v>5133046.58</v>
      </c>
      <c r="D50" s="4"/>
      <c r="I50" s="40">
        <f t="shared" si="2"/>
        <v>5133046.58</v>
      </c>
      <c r="J50" s="40"/>
      <c r="K50" s="40">
        <v>6164891.7599999998</v>
      </c>
    </row>
    <row r="51" spans="1:11" s="42" customFormat="1" x14ac:dyDescent="0.25">
      <c r="A51" s="42">
        <v>1640</v>
      </c>
      <c r="B51" s="42" t="s">
        <v>58</v>
      </c>
      <c r="C51" s="4">
        <v>80752.34</v>
      </c>
      <c r="D51" s="4"/>
      <c r="I51" s="40">
        <f t="shared" si="2"/>
        <v>80752.34</v>
      </c>
      <c r="J51" s="40"/>
      <c r="K51" s="40">
        <v>22000</v>
      </c>
    </row>
    <row r="52" spans="1:11" s="42" customFormat="1" x14ac:dyDescent="0.25">
      <c r="A52" s="42">
        <v>1680</v>
      </c>
      <c r="B52" s="42" t="s">
        <v>59</v>
      </c>
      <c r="C52" s="4">
        <v>650165.16</v>
      </c>
      <c r="D52" s="4"/>
      <c r="I52" s="40">
        <f t="shared" si="2"/>
        <v>650165.16</v>
      </c>
      <c r="J52" s="40"/>
      <c r="K52" s="40">
        <v>650165.16</v>
      </c>
    </row>
    <row r="53" spans="1:11" s="42" customFormat="1" x14ac:dyDescent="0.25">
      <c r="A53" s="42">
        <v>1690</v>
      </c>
      <c r="B53" s="42" t="s">
        <v>60</v>
      </c>
      <c r="C53" s="4">
        <v>666359.88</v>
      </c>
      <c r="D53" s="4"/>
      <c r="I53" s="40">
        <f t="shared" si="2"/>
        <v>666359.88</v>
      </c>
      <c r="J53" s="40"/>
      <c r="K53" s="40">
        <v>44331.85</v>
      </c>
    </row>
    <row r="54" spans="1:11" s="42" customFormat="1" x14ac:dyDescent="0.25">
      <c r="A54" s="43">
        <v>1694</v>
      </c>
      <c r="B54" s="43" t="s">
        <v>365</v>
      </c>
      <c r="C54" s="43">
        <v>0</v>
      </c>
      <c r="D54" s="4"/>
      <c r="I54" s="40"/>
      <c r="J54" s="40"/>
      <c r="K54" s="40">
        <v>55651.74</v>
      </c>
    </row>
    <row r="55" spans="1:11" s="42" customFormat="1" x14ac:dyDescent="0.25">
      <c r="A55" s="42">
        <v>1695</v>
      </c>
      <c r="B55" s="42" t="s">
        <v>61</v>
      </c>
      <c r="C55" s="4">
        <v>64272.66</v>
      </c>
      <c r="D55" s="4"/>
      <c r="I55" s="40">
        <f t="shared" ref="I55:I86" si="3">SUM(C55:H55)</f>
        <v>64272.66</v>
      </c>
      <c r="J55" s="40"/>
      <c r="K55" s="40">
        <v>0</v>
      </c>
    </row>
    <row r="56" spans="1:11" s="42" customFormat="1" x14ac:dyDescent="0.25">
      <c r="A56" s="42">
        <v>1696</v>
      </c>
      <c r="B56" s="42" t="s">
        <v>62</v>
      </c>
      <c r="C56" s="4">
        <v>0.01</v>
      </c>
      <c r="D56" s="4"/>
      <c r="I56" s="40">
        <f t="shared" si="3"/>
        <v>0.01</v>
      </c>
      <c r="J56" s="40"/>
      <c r="K56" s="40">
        <v>0.01</v>
      </c>
    </row>
    <row r="57" spans="1:11" s="42" customFormat="1" x14ac:dyDescent="0.25">
      <c r="A57" s="42">
        <v>1710</v>
      </c>
      <c r="B57" s="42" t="s">
        <v>63</v>
      </c>
      <c r="C57" s="4">
        <v>-4126411.63</v>
      </c>
      <c r="D57" s="4"/>
      <c r="I57" s="40">
        <f t="shared" si="3"/>
        <v>-4126411.63</v>
      </c>
      <c r="J57" s="40"/>
      <c r="K57" s="40">
        <v>-2517844.63</v>
      </c>
    </row>
    <row r="58" spans="1:11" s="42" customFormat="1" x14ac:dyDescent="0.25">
      <c r="A58" s="42">
        <v>1711</v>
      </c>
      <c r="B58" s="42" t="s">
        <v>64</v>
      </c>
      <c r="C58" s="4">
        <v>-1567209.22</v>
      </c>
      <c r="D58" s="4"/>
      <c r="I58" s="40">
        <f t="shared" si="3"/>
        <v>-1567209.22</v>
      </c>
      <c r="J58" s="40"/>
      <c r="K58" s="40">
        <v>-521942.01</v>
      </c>
    </row>
    <row r="59" spans="1:11" s="42" customFormat="1" x14ac:dyDescent="0.25">
      <c r="A59" s="42">
        <v>1712</v>
      </c>
      <c r="B59" s="42" t="s">
        <v>65</v>
      </c>
      <c r="C59" s="4">
        <v>-261289.56</v>
      </c>
      <c r="D59" s="4"/>
      <c r="I59" s="40">
        <f t="shared" si="3"/>
        <v>-261289.56</v>
      </c>
      <c r="J59" s="40"/>
      <c r="K59" s="40">
        <v>-112659.81</v>
      </c>
    </row>
    <row r="60" spans="1:11" s="42" customFormat="1" x14ac:dyDescent="0.25">
      <c r="A60" s="42">
        <v>1715</v>
      </c>
      <c r="B60" s="42" t="s">
        <v>66</v>
      </c>
      <c r="C60" s="4">
        <v>-108471.57</v>
      </c>
      <c r="D60" s="4"/>
      <c r="I60" s="40">
        <f t="shared" si="3"/>
        <v>-108471.57</v>
      </c>
      <c r="J60" s="40"/>
      <c r="K60" s="40">
        <v>-76362.570000000007</v>
      </c>
    </row>
    <row r="61" spans="1:11" s="42" customFormat="1" x14ac:dyDescent="0.25">
      <c r="A61" s="42">
        <v>1720</v>
      </c>
      <c r="B61" s="42" t="s">
        <v>67</v>
      </c>
      <c r="C61" s="4">
        <v>-279530.39</v>
      </c>
      <c r="D61" s="4"/>
      <c r="I61" s="40">
        <f t="shared" si="3"/>
        <v>-279530.39</v>
      </c>
      <c r="J61" s="40"/>
      <c r="K61" s="40">
        <v>-183730.52</v>
      </c>
    </row>
    <row r="62" spans="1:11" s="42" customFormat="1" x14ac:dyDescent="0.25">
      <c r="A62" s="42">
        <v>1725</v>
      </c>
      <c r="B62" s="42" t="s">
        <v>68</v>
      </c>
      <c r="C62" s="4">
        <v>-1004782.31</v>
      </c>
      <c r="D62" s="4"/>
      <c r="I62" s="40">
        <f t="shared" si="3"/>
        <v>-1004782.31</v>
      </c>
      <c r="J62" s="40"/>
      <c r="K62" s="40">
        <v>-758372.19</v>
      </c>
    </row>
    <row r="63" spans="1:11" s="42" customFormat="1" x14ac:dyDescent="0.25">
      <c r="A63" s="42">
        <v>1730</v>
      </c>
      <c r="B63" s="42" t="s">
        <v>69</v>
      </c>
      <c r="C63" s="4">
        <v>-617911.06000000006</v>
      </c>
      <c r="D63" s="4"/>
      <c r="I63" s="40">
        <f t="shared" si="3"/>
        <v>-617911.06000000006</v>
      </c>
      <c r="J63" s="40"/>
      <c r="K63" s="40">
        <v>-273096.45</v>
      </c>
    </row>
    <row r="64" spans="1:11" s="42" customFormat="1" x14ac:dyDescent="0.25">
      <c r="A64" s="42">
        <v>1735</v>
      </c>
      <c r="B64" s="42" t="s">
        <v>70</v>
      </c>
      <c r="C64" s="4">
        <v>-2750402.68</v>
      </c>
      <c r="D64" s="4"/>
      <c r="I64" s="40">
        <f t="shared" si="3"/>
        <v>-2750402.68</v>
      </c>
      <c r="J64" s="40"/>
      <c r="K64" s="40">
        <v>-1549082.66</v>
      </c>
    </row>
    <row r="65" spans="1:11" s="42" customFormat="1" x14ac:dyDescent="0.25">
      <c r="A65" s="42">
        <v>1740</v>
      </c>
      <c r="B65" s="42" t="s">
        <v>71</v>
      </c>
      <c r="C65" s="4">
        <v>-7523.1</v>
      </c>
      <c r="D65" s="4"/>
      <c r="I65" s="40">
        <f t="shared" si="3"/>
        <v>-7523.1</v>
      </c>
      <c r="J65" s="40"/>
      <c r="K65" s="40">
        <v>-916.65</v>
      </c>
    </row>
    <row r="66" spans="1:11" s="42" customFormat="1" x14ac:dyDescent="0.25">
      <c r="A66" s="42">
        <v>1780</v>
      </c>
      <c r="B66" s="42" t="s">
        <v>72</v>
      </c>
      <c r="C66" s="4">
        <v>-650165.18999999994</v>
      </c>
      <c r="D66" s="4"/>
      <c r="I66" s="40">
        <f t="shared" si="3"/>
        <v>-650165.18999999994</v>
      </c>
      <c r="J66" s="40"/>
      <c r="K66" s="40">
        <v>-650165.18999999994</v>
      </c>
    </row>
    <row r="67" spans="1:11" s="42" customFormat="1" x14ac:dyDescent="0.25">
      <c r="A67" s="42">
        <v>1815</v>
      </c>
      <c r="B67" s="42" t="s">
        <v>78</v>
      </c>
      <c r="C67" s="4">
        <v>25867900.27</v>
      </c>
      <c r="D67" s="4"/>
      <c r="E67" s="45">
        <f>-C67</f>
        <v>-25867900.27</v>
      </c>
      <c r="F67" s="45"/>
      <c r="G67" s="45"/>
      <c r="I67" s="40">
        <f t="shared" si="3"/>
        <v>0</v>
      </c>
      <c r="J67" s="40"/>
      <c r="K67" s="40">
        <v>0</v>
      </c>
    </row>
    <row r="68" spans="1:11" s="42" customFormat="1" x14ac:dyDescent="0.25">
      <c r="A68" s="42">
        <v>1820</v>
      </c>
      <c r="B68" s="42" t="s">
        <v>79</v>
      </c>
      <c r="C68" s="4">
        <v>708729.9</v>
      </c>
      <c r="D68" s="4"/>
      <c r="E68" s="45">
        <f>-C68</f>
        <v>-708729.9</v>
      </c>
      <c r="F68" s="45"/>
      <c r="G68" s="45"/>
      <c r="I68" s="40">
        <f t="shared" si="3"/>
        <v>0</v>
      </c>
      <c r="J68" s="40"/>
      <c r="K68" s="40">
        <v>0</v>
      </c>
    </row>
    <row r="69" spans="1:11" s="42" customFormat="1" x14ac:dyDescent="0.25">
      <c r="A69" s="42">
        <v>1825</v>
      </c>
      <c r="B69" s="42" t="s">
        <v>80</v>
      </c>
      <c r="C69" s="4">
        <v>3000</v>
      </c>
      <c r="D69" s="4"/>
      <c r="I69" s="40">
        <f t="shared" si="3"/>
        <v>3000</v>
      </c>
      <c r="J69" s="40"/>
      <c r="K69" s="40">
        <v>3000</v>
      </c>
    </row>
    <row r="70" spans="1:11" s="42" customFormat="1" x14ac:dyDescent="0.25">
      <c r="A70" s="42">
        <v>2010</v>
      </c>
      <c r="B70" s="42" t="s">
        <v>81</v>
      </c>
      <c r="C70" s="4">
        <v>-7429563.4299999997</v>
      </c>
      <c r="D70" s="4"/>
      <c r="I70" s="40">
        <f t="shared" si="3"/>
        <v>-7429563.4299999997</v>
      </c>
      <c r="J70" s="40"/>
      <c r="K70" s="40">
        <v>-7668771.71</v>
      </c>
    </row>
    <row r="71" spans="1:11" s="42" customFormat="1" x14ac:dyDescent="0.25">
      <c r="A71" s="42">
        <v>2020</v>
      </c>
      <c r="B71" s="42" t="s">
        <v>83</v>
      </c>
      <c r="C71" s="4">
        <v>-39712.49</v>
      </c>
      <c r="D71" s="4"/>
      <c r="I71" s="40">
        <f t="shared" si="3"/>
        <v>-39712.49</v>
      </c>
      <c r="J71" s="40"/>
      <c r="K71" s="40">
        <v>4174.93</v>
      </c>
    </row>
    <row r="72" spans="1:11" s="42" customFormat="1" x14ac:dyDescent="0.25">
      <c r="A72" s="42">
        <v>2030</v>
      </c>
      <c r="B72" s="42" t="s">
        <v>84</v>
      </c>
      <c r="C72" s="4">
        <v>-354459.56</v>
      </c>
      <c r="D72" s="4"/>
      <c r="I72" s="40">
        <f t="shared" si="3"/>
        <v>-354459.56</v>
      </c>
      <c r="J72" s="40"/>
      <c r="K72" s="40">
        <v>-108592.54</v>
      </c>
    </row>
    <row r="73" spans="1:11" s="42" customFormat="1" x14ac:dyDescent="0.25">
      <c r="A73" s="42">
        <v>2035</v>
      </c>
      <c r="B73" s="42" t="s">
        <v>85</v>
      </c>
      <c r="C73" s="4">
        <v>-942077.67</v>
      </c>
      <c r="D73" s="4"/>
      <c r="I73" s="40">
        <f t="shared" si="3"/>
        <v>-942077.67</v>
      </c>
      <c r="J73" s="40"/>
      <c r="K73" s="40">
        <v>-1770577.94</v>
      </c>
    </row>
    <row r="74" spans="1:11" s="42" customFormat="1" x14ac:dyDescent="0.25">
      <c r="A74" s="42">
        <v>2045</v>
      </c>
      <c r="B74" s="42" t="s">
        <v>86</v>
      </c>
      <c r="C74" s="4">
        <v>-792277.04</v>
      </c>
      <c r="D74" s="4"/>
      <c r="I74" s="40">
        <f t="shared" si="3"/>
        <v>-792277.04</v>
      </c>
      <c r="J74" s="40"/>
      <c r="K74" s="40">
        <v>-855153.65</v>
      </c>
    </row>
    <row r="75" spans="1:11" s="42" customFormat="1" x14ac:dyDescent="0.25">
      <c r="A75" s="42">
        <v>2055</v>
      </c>
      <c r="B75" s="42" t="s">
        <v>87</v>
      </c>
      <c r="C75" s="4">
        <v>-1266413.2</v>
      </c>
      <c r="D75" s="4"/>
      <c r="I75" s="40">
        <f t="shared" si="3"/>
        <v>-1266413.2</v>
      </c>
      <c r="J75" s="40"/>
      <c r="K75" s="40">
        <v>-909271.93</v>
      </c>
    </row>
    <row r="76" spans="1:11" s="42" customFormat="1" x14ac:dyDescent="0.25">
      <c r="A76" s="42">
        <v>2065</v>
      </c>
      <c r="B76" s="42" t="s">
        <v>88</v>
      </c>
      <c r="C76" s="4">
        <v>-546054.42000000004</v>
      </c>
      <c r="D76" s="4"/>
      <c r="I76" s="40">
        <f t="shared" si="3"/>
        <v>-546054.42000000004</v>
      </c>
      <c r="J76" s="40"/>
      <c r="K76" s="40">
        <v>-417536.08</v>
      </c>
    </row>
    <row r="77" spans="1:11" s="42" customFormat="1" x14ac:dyDescent="0.25">
      <c r="A77" s="42">
        <v>2075</v>
      </c>
      <c r="B77" s="42" t="s">
        <v>89</v>
      </c>
      <c r="C77" s="4">
        <v>-94415.07</v>
      </c>
      <c r="D77" s="4"/>
      <c r="I77" s="40">
        <f t="shared" si="3"/>
        <v>-94415.07</v>
      </c>
      <c r="J77" s="40"/>
      <c r="K77" s="40">
        <v>-72661.3</v>
      </c>
    </row>
    <row r="78" spans="1:11" s="42" customFormat="1" x14ac:dyDescent="0.25">
      <c r="A78" s="42">
        <v>2085</v>
      </c>
      <c r="B78" s="42" t="s">
        <v>90</v>
      </c>
      <c r="C78" s="4">
        <v>-41602.31</v>
      </c>
      <c r="D78" s="4"/>
      <c r="I78" s="40">
        <f t="shared" si="3"/>
        <v>-41602.31</v>
      </c>
      <c r="J78" s="40"/>
      <c r="K78" s="40">
        <v>-40770.92</v>
      </c>
    </row>
    <row r="79" spans="1:11" s="42" customFormat="1" x14ac:dyDescent="0.25">
      <c r="A79" s="42">
        <v>2120</v>
      </c>
      <c r="B79" s="42" t="s">
        <v>91</v>
      </c>
      <c r="C79" s="4">
        <v>-25489.45</v>
      </c>
      <c r="D79" s="4"/>
      <c r="I79" s="40">
        <f t="shared" si="3"/>
        <v>-25489.45</v>
      </c>
      <c r="J79" s="40"/>
      <c r="K79" s="40">
        <v>-64817.56</v>
      </c>
    </row>
    <row r="80" spans="1:11" s="42" customFormat="1" x14ac:dyDescent="0.25">
      <c r="A80" s="42">
        <v>2121</v>
      </c>
      <c r="B80" s="42" t="s">
        <v>92</v>
      </c>
      <c r="C80" s="4">
        <v>-10923.34</v>
      </c>
      <c r="D80" s="4"/>
      <c r="I80" s="40">
        <f t="shared" si="3"/>
        <v>-10923.34</v>
      </c>
      <c r="J80" s="40"/>
      <c r="K80" s="40">
        <v>-10733.27</v>
      </c>
    </row>
    <row r="81" spans="1:11" s="42" customFormat="1" x14ac:dyDescent="0.25">
      <c r="A81" s="42">
        <v>2140</v>
      </c>
      <c r="B81" s="42" t="s">
        <v>93</v>
      </c>
      <c r="C81" s="4">
        <v>-119644.22</v>
      </c>
      <c r="D81" s="4"/>
      <c r="I81" s="40">
        <f t="shared" si="3"/>
        <v>-119644.22</v>
      </c>
      <c r="J81" s="40"/>
      <c r="K81" s="40">
        <v>-312955.76</v>
      </c>
    </row>
    <row r="82" spans="1:11" s="42" customFormat="1" x14ac:dyDescent="0.25">
      <c r="A82" s="42">
        <v>2145</v>
      </c>
      <c r="B82" s="42" t="s">
        <v>94</v>
      </c>
      <c r="C82" s="4">
        <v>-15244140.300000001</v>
      </c>
      <c r="D82" s="4"/>
      <c r="E82" s="46">
        <v>13377782.116</v>
      </c>
      <c r="F82" s="46"/>
      <c r="G82" s="46"/>
      <c r="I82" s="40">
        <f t="shared" si="3"/>
        <v>-1866358.1840000004</v>
      </c>
      <c r="J82" s="40"/>
      <c r="K82" s="40">
        <v>-3424984.25</v>
      </c>
    </row>
    <row r="83" spans="1:11" s="42" customFormat="1" x14ac:dyDescent="0.25">
      <c r="A83" s="42">
        <v>2147</v>
      </c>
      <c r="B83" s="42" t="s">
        <v>95</v>
      </c>
      <c r="C83" s="4">
        <v>-22941.06</v>
      </c>
      <c r="D83" s="4"/>
      <c r="I83" s="40">
        <f t="shared" si="3"/>
        <v>-22941.06</v>
      </c>
      <c r="J83" s="40"/>
      <c r="K83" s="40">
        <v>-22941.06</v>
      </c>
    </row>
    <row r="84" spans="1:11" s="42" customFormat="1" x14ac:dyDescent="0.25">
      <c r="A84" s="42">
        <v>2150</v>
      </c>
      <c r="B84" s="42" t="s">
        <v>96</v>
      </c>
      <c r="C84" s="4">
        <v>-83808016.890000001</v>
      </c>
      <c r="D84" s="4"/>
      <c r="I84" s="40">
        <f t="shared" si="3"/>
        <v>-83808016.890000001</v>
      </c>
      <c r="J84" s="40"/>
      <c r="K84" s="40">
        <v>-73308016.890000001</v>
      </c>
    </row>
    <row r="85" spans="1:11" s="42" customFormat="1" x14ac:dyDescent="0.25">
      <c r="A85" s="42">
        <v>2210</v>
      </c>
      <c r="B85" s="42" t="s">
        <v>98</v>
      </c>
      <c r="C85" s="4">
        <v>-0.01</v>
      </c>
      <c r="D85" s="4"/>
      <c r="I85" s="40">
        <f t="shared" si="3"/>
        <v>-0.01</v>
      </c>
      <c r="J85" s="40"/>
      <c r="K85" s="40">
        <v>-0.01</v>
      </c>
    </row>
    <row r="86" spans="1:11" s="42" customFormat="1" x14ac:dyDescent="0.25">
      <c r="A86" s="42">
        <v>2211</v>
      </c>
      <c r="B86" s="42" t="s">
        <v>99</v>
      </c>
      <c r="C86" s="4">
        <v>-45187358.880000003</v>
      </c>
      <c r="D86" s="4"/>
      <c r="I86" s="40">
        <f t="shared" si="3"/>
        <v>-45187358.880000003</v>
      </c>
      <c r="J86" s="40"/>
      <c r="K86" s="40">
        <v>-3000000</v>
      </c>
    </row>
    <row r="87" spans="1:11" s="42" customFormat="1" x14ac:dyDescent="0.25">
      <c r="A87" s="42">
        <v>2310</v>
      </c>
      <c r="B87" s="42" t="s">
        <v>100</v>
      </c>
      <c r="C87" s="4">
        <v>-573860.75</v>
      </c>
      <c r="D87" s="4"/>
      <c r="I87" s="40">
        <f t="shared" ref="I87:I107" si="4">SUM(C87:H87)</f>
        <v>-573860.75</v>
      </c>
      <c r="J87" s="40"/>
      <c r="K87" s="40">
        <v>-132266.47</v>
      </c>
    </row>
    <row r="88" spans="1:11" s="42" customFormat="1" x14ac:dyDescent="0.25">
      <c r="A88" s="42">
        <v>2410</v>
      </c>
      <c r="B88" s="42" t="s">
        <v>101</v>
      </c>
      <c r="C88" s="4">
        <v>-1857394.97</v>
      </c>
      <c r="D88" s="4"/>
      <c r="I88" s="40">
        <f t="shared" si="4"/>
        <v>-1857394.97</v>
      </c>
      <c r="J88" s="40"/>
      <c r="K88" s="40">
        <v>-1571605.24</v>
      </c>
    </row>
    <row r="89" spans="1:11" s="42" customFormat="1" x14ac:dyDescent="0.25">
      <c r="A89" s="42">
        <v>2425</v>
      </c>
      <c r="B89" s="42" t="s">
        <v>102</v>
      </c>
      <c r="C89" s="4">
        <v>-40000000</v>
      </c>
      <c r="D89" s="4"/>
      <c r="I89" s="40">
        <f t="shared" si="4"/>
        <v>-40000000</v>
      </c>
      <c r="J89" s="40"/>
      <c r="K89" s="40">
        <v>-40000000</v>
      </c>
    </row>
    <row r="90" spans="1:11" s="42" customFormat="1" x14ac:dyDescent="0.25">
      <c r="A90" s="42">
        <v>2426</v>
      </c>
      <c r="B90" s="42" t="s">
        <v>103</v>
      </c>
      <c r="C90" s="4">
        <v>-489150.69</v>
      </c>
      <c r="D90" s="4"/>
      <c r="I90" s="40">
        <f t="shared" si="4"/>
        <v>-489150.69</v>
      </c>
      <c r="J90" s="40"/>
      <c r="K90" s="40">
        <v>-173150.69</v>
      </c>
    </row>
    <row r="91" spans="1:11" s="42" customFormat="1" x14ac:dyDescent="0.25">
      <c r="A91" s="42">
        <v>2510</v>
      </c>
      <c r="B91" s="42" t="s">
        <v>104</v>
      </c>
      <c r="C91" s="4">
        <v>-1897229.34</v>
      </c>
      <c r="D91" s="4"/>
      <c r="I91" s="40">
        <f t="shared" si="4"/>
        <v>-1897229.34</v>
      </c>
      <c r="J91" s="40"/>
      <c r="K91" s="40">
        <v>-231073.28</v>
      </c>
    </row>
    <row r="92" spans="1:11" s="42" customFormat="1" x14ac:dyDescent="0.25">
      <c r="A92" s="42">
        <v>3010</v>
      </c>
      <c r="B92" s="42" t="s">
        <v>105</v>
      </c>
      <c r="C92" s="4">
        <v>-4402.1000000000004</v>
      </c>
      <c r="D92" s="4"/>
      <c r="I92" s="40">
        <f t="shared" si="4"/>
        <v>-4402.1000000000004</v>
      </c>
      <c r="J92" s="40"/>
      <c r="K92" s="40">
        <v>-2966.6</v>
      </c>
    </row>
    <row r="93" spans="1:11" s="42" customFormat="1" x14ac:dyDescent="0.25">
      <c r="A93" s="42">
        <v>3020</v>
      </c>
      <c r="B93" s="42" t="s">
        <v>107</v>
      </c>
      <c r="C93" s="4">
        <v>-926.4</v>
      </c>
      <c r="D93" s="4"/>
      <c r="I93" s="40">
        <f t="shared" si="4"/>
        <v>-926.4</v>
      </c>
      <c r="J93" s="40"/>
      <c r="K93" s="40">
        <v>-926.4</v>
      </c>
    </row>
    <row r="94" spans="1:11" s="42" customFormat="1" x14ac:dyDescent="0.25">
      <c r="A94" s="42">
        <v>3030</v>
      </c>
      <c r="B94" s="42" t="s">
        <v>109</v>
      </c>
      <c r="C94" s="4">
        <v>-1083.26</v>
      </c>
      <c r="D94" s="4"/>
      <c r="I94" s="40">
        <f t="shared" si="4"/>
        <v>-1083.26</v>
      </c>
      <c r="J94" s="40"/>
      <c r="K94" s="40">
        <v>-1083.26</v>
      </c>
    </row>
    <row r="95" spans="1:11" s="42" customFormat="1" x14ac:dyDescent="0.25">
      <c r="A95" s="42">
        <v>3040</v>
      </c>
      <c r="B95" s="42" t="s">
        <v>112</v>
      </c>
      <c r="C95" s="4">
        <v>-1178.3399999999999</v>
      </c>
      <c r="D95" s="4"/>
      <c r="I95" s="40">
        <f t="shared" si="4"/>
        <v>-1178.3399999999999</v>
      </c>
      <c r="J95" s="40"/>
      <c r="K95" s="40">
        <v>-1176.3399999999999</v>
      </c>
    </row>
    <row r="96" spans="1:11" s="42" customFormat="1" x14ac:dyDescent="0.25">
      <c r="A96" s="42">
        <v>3046</v>
      </c>
      <c r="B96" s="42" t="s">
        <v>115</v>
      </c>
      <c r="C96" s="4">
        <v>-397.77</v>
      </c>
      <c r="D96" s="4"/>
      <c r="I96" s="40">
        <f t="shared" si="4"/>
        <v>-397.77</v>
      </c>
      <c r="J96" s="40"/>
      <c r="K96" s="40">
        <v>-370.17</v>
      </c>
    </row>
    <row r="97" spans="1:12" s="42" customFormat="1" x14ac:dyDescent="0.25">
      <c r="A97" s="42">
        <v>3015</v>
      </c>
      <c r="B97" s="42" t="s">
        <v>106</v>
      </c>
      <c r="C97" s="4">
        <v>-21645992.760000002</v>
      </c>
      <c r="D97" s="4"/>
      <c r="E97" s="45">
        <f>-E67-E82</f>
        <v>12490118.153999999</v>
      </c>
      <c r="F97" s="45"/>
      <c r="G97" s="45"/>
      <c r="I97" s="40">
        <f t="shared" si="4"/>
        <v>-9155874.6060000025</v>
      </c>
      <c r="J97" s="40"/>
      <c r="K97" s="40">
        <v>-7220565.6400000006</v>
      </c>
    </row>
    <row r="98" spans="1:12" s="42" customFormat="1" x14ac:dyDescent="0.25">
      <c r="A98" s="42">
        <v>3025</v>
      </c>
      <c r="B98" s="42" t="s">
        <v>108</v>
      </c>
      <c r="C98" s="4">
        <v>-6391349.5300000003</v>
      </c>
      <c r="D98" s="4"/>
      <c r="I98" s="40">
        <f t="shared" si="4"/>
        <v>-6391349.5300000003</v>
      </c>
      <c r="J98" s="40"/>
      <c r="K98" s="40">
        <v>-6391349.5300000003</v>
      </c>
    </row>
    <row r="99" spans="1:12" s="42" customFormat="1" x14ac:dyDescent="0.25">
      <c r="A99" s="42">
        <v>3032</v>
      </c>
      <c r="B99" s="42" t="s">
        <v>110</v>
      </c>
      <c r="C99" s="4">
        <v>153728.4</v>
      </c>
      <c r="D99" s="4"/>
      <c r="I99" s="40">
        <f t="shared" si="4"/>
        <v>153728.4</v>
      </c>
      <c r="J99" s="40"/>
      <c r="K99" s="40">
        <v>153728.4</v>
      </c>
    </row>
    <row r="100" spans="1:12" s="42" customFormat="1" x14ac:dyDescent="0.25">
      <c r="A100" s="42">
        <v>3035</v>
      </c>
      <c r="B100" s="42" t="s">
        <v>111</v>
      </c>
      <c r="C100" s="4">
        <v>-9998916.6899999995</v>
      </c>
      <c r="D100" s="4"/>
      <c r="I100" s="40">
        <f t="shared" si="4"/>
        <v>-9998916.6899999995</v>
      </c>
      <c r="J100" s="40"/>
      <c r="K100" s="40">
        <v>-9998916.6899999995</v>
      </c>
    </row>
    <row r="101" spans="1:12" s="42" customFormat="1" x14ac:dyDescent="0.25">
      <c r="A101" s="42">
        <v>3042</v>
      </c>
      <c r="B101" s="42" t="s">
        <v>113</v>
      </c>
      <c r="C101" s="4">
        <v>152658.68</v>
      </c>
      <c r="D101" s="4"/>
      <c r="I101" s="40">
        <f t="shared" si="4"/>
        <v>152658.68</v>
      </c>
      <c r="J101" s="40"/>
      <c r="K101" s="40">
        <v>152658.68</v>
      </c>
    </row>
    <row r="102" spans="1:12" s="42" customFormat="1" x14ac:dyDescent="0.25">
      <c r="A102" s="42">
        <v>3045</v>
      </c>
      <c r="B102" s="42" t="s">
        <v>114</v>
      </c>
      <c r="C102" s="4">
        <v>-33216225.300000001</v>
      </c>
      <c r="D102" s="4"/>
      <c r="I102" s="40">
        <f t="shared" si="4"/>
        <v>-33216225.300000001</v>
      </c>
      <c r="J102" s="40"/>
      <c r="K102" s="40">
        <v>-33159827.300000001</v>
      </c>
    </row>
    <row r="103" spans="1:12" s="42" customFormat="1" x14ac:dyDescent="0.25">
      <c r="A103" s="42">
        <v>3048</v>
      </c>
      <c r="B103" s="42" t="s">
        <v>116</v>
      </c>
      <c r="C103" s="4">
        <v>83723</v>
      </c>
      <c r="D103" s="4"/>
      <c r="I103" s="40">
        <f t="shared" si="4"/>
        <v>83723</v>
      </c>
      <c r="J103" s="40"/>
      <c r="K103" s="40">
        <v>83723</v>
      </c>
    </row>
    <row r="104" spans="1:12" s="42" customFormat="1" x14ac:dyDescent="0.25">
      <c r="A104" s="42">
        <v>3049</v>
      </c>
      <c r="B104" s="42" t="s">
        <v>117</v>
      </c>
      <c r="C104" s="4">
        <v>-76224607.230000004</v>
      </c>
      <c r="D104" s="4"/>
      <c r="I104" s="40">
        <f t="shared" si="4"/>
        <v>-76224607.230000004</v>
      </c>
      <c r="J104" s="40"/>
      <c r="K104" s="40">
        <v>-55524634.829999998</v>
      </c>
    </row>
    <row r="105" spans="1:12" s="42" customFormat="1" x14ac:dyDescent="0.25">
      <c r="A105" s="42">
        <v>3050</v>
      </c>
      <c r="B105" s="42" t="s">
        <v>118</v>
      </c>
      <c r="C105" s="4">
        <v>10021.51</v>
      </c>
      <c r="D105" s="4"/>
      <c r="F105" s="45">
        <f>-C105</f>
        <v>-10021.51</v>
      </c>
      <c r="I105" s="40">
        <f t="shared" si="4"/>
        <v>0</v>
      </c>
      <c r="J105" s="40"/>
      <c r="K105" s="40">
        <v>0</v>
      </c>
    </row>
    <row r="106" spans="1:12" s="42" customFormat="1" x14ac:dyDescent="0.25">
      <c r="A106" s="42">
        <v>3060</v>
      </c>
      <c r="B106" s="42" t="s">
        <v>119</v>
      </c>
      <c r="C106" s="4">
        <v>495.74</v>
      </c>
      <c r="D106" s="4"/>
      <c r="I106" s="40">
        <f t="shared" si="4"/>
        <v>495.74</v>
      </c>
      <c r="J106" s="40"/>
      <c r="K106" s="40">
        <v>-12729.27</v>
      </c>
    </row>
    <row r="107" spans="1:12" s="42" customFormat="1" x14ac:dyDescent="0.25">
      <c r="A107" s="42">
        <v>3090</v>
      </c>
      <c r="B107" s="42" t="s">
        <v>120</v>
      </c>
      <c r="C107" s="4">
        <v>170578873.66999999</v>
      </c>
      <c r="D107" s="4">
        <f>-D24</f>
        <v>94273.47</v>
      </c>
      <c r="E107" s="45">
        <f>-E68-E247</f>
        <v>384966.49000000005</v>
      </c>
      <c r="F107" s="45"/>
      <c r="G107" s="45"/>
      <c r="I107" s="40">
        <f t="shared" si="4"/>
        <v>171058113.63</v>
      </c>
      <c r="J107" s="40"/>
      <c r="K107" s="40">
        <v>104220138.43000001</v>
      </c>
      <c r="L107" s="44"/>
    </row>
    <row r="108" spans="1:12" s="42" customFormat="1" x14ac:dyDescent="0.25">
      <c r="A108" s="43">
        <v>4900</v>
      </c>
      <c r="B108" s="43" t="s">
        <v>369</v>
      </c>
      <c r="C108" s="43">
        <v>0</v>
      </c>
      <c r="D108" s="4"/>
      <c r="I108" s="40"/>
      <c r="J108" s="40"/>
      <c r="K108" s="40">
        <v>-1285</v>
      </c>
    </row>
    <row r="109" spans="1:12" s="42" customFormat="1" x14ac:dyDescent="0.25">
      <c r="A109" s="42">
        <v>5200</v>
      </c>
      <c r="B109" s="42" t="s">
        <v>121</v>
      </c>
      <c r="C109" s="4">
        <v>826133.17</v>
      </c>
      <c r="D109" s="4"/>
      <c r="I109" s="40">
        <f t="shared" ref="I109:I146" si="5">SUM(C109:H109)</f>
        <v>826133.17</v>
      </c>
      <c r="J109" s="40"/>
      <c r="K109" s="40">
        <v>0</v>
      </c>
    </row>
    <row r="110" spans="1:12" s="42" customFormat="1" x14ac:dyDescent="0.25">
      <c r="A110" s="42">
        <v>5300</v>
      </c>
      <c r="B110" s="42" t="s">
        <v>122</v>
      </c>
      <c r="C110" s="4">
        <v>10024.08</v>
      </c>
      <c r="D110" s="4"/>
      <c r="I110" s="40">
        <f t="shared" si="5"/>
        <v>10024.08</v>
      </c>
      <c r="J110" s="40"/>
      <c r="K110" s="40">
        <v>56012.53</v>
      </c>
    </row>
    <row r="111" spans="1:12" s="42" customFormat="1" x14ac:dyDescent="0.25">
      <c r="A111" s="42">
        <v>5400</v>
      </c>
      <c r="B111" s="42" t="s">
        <v>123</v>
      </c>
      <c r="C111" s="4">
        <v>4861.5600000000004</v>
      </c>
      <c r="D111" s="4"/>
      <c r="I111" s="40">
        <f t="shared" si="5"/>
        <v>4861.5600000000004</v>
      </c>
      <c r="J111" s="40"/>
      <c r="K111" s="40">
        <v>5898.56</v>
      </c>
    </row>
    <row r="112" spans="1:12" s="42" customFormat="1" x14ac:dyDescent="0.25">
      <c r="A112" s="42">
        <v>5500</v>
      </c>
      <c r="B112" s="42" t="s">
        <v>124</v>
      </c>
      <c r="C112" s="4">
        <v>-306374.03999999998</v>
      </c>
      <c r="D112" s="4"/>
      <c r="I112" s="40">
        <f t="shared" si="5"/>
        <v>-306374.03999999998</v>
      </c>
      <c r="J112" s="40"/>
      <c r="K112" s="40">
        <v>0</v>
      </c>
    </row>
    <row r="113" spans="1:11" s="42" customFormat="1" x14ac:dyDescent="0.25">
      <c r="A113" s="42">
        <v>5600</v>
      </c>
      <c r="B113" s="42" t="s">
        <v>125</v>
      </c>
      <c r="C113" s="4">
        <v>78578.48</v>
      </c>
      <c r="D113" s="4"/>
      <c r="I113" s="40">
        <f t="shared" si="5"/>
        <v>78578.48</v>
      </c>
      <c r="J113" s="40"/>
      <c r="K113" s="40">
        <v>-1677637.76</v>
      </c>
    </row>
    <row r="114" spans="1:11" s="42" customFormat="1" x14ac:dyDescent="0.25">
      <c r="A114" s="42">
        <v>5610</v>
      </c>
      <c r="B114" s="42" t="s">
        <v>126</v>
      </c>
      <c r="C114" s="4">
        <v>-649.34</v>
      </c>
      <c r="D114" s="4"/>
      <c r="I114" s="40">
        <f t="shared" si="5"/>
        <v>-649.34</v>
      </c>
      <c r="J114" s="40"/>
      <c r="K114" s="40">
        <v>529</v>
      </c>
    </row>
    <row r="115" spans="1:11" s="42" customFormat="1" x14ac:dyDescent="0.25">
      <c r="A115" s="42">
        <v>5650</v>
      </c>
      <c r="B115" s="42" t="s">
        <v>127</v>
      </c>
      <c r="C115" s="4">
        <v>-105391.33</v>
      </c>
      <c r="D115" s="4"/>
      <c r="I115" s="40">
        <f t="shared" si="5"/>
        <v>-105391.33</v>
      </c>
      <c r="J115" s="40"/>
      <c r="K115" s="40">
        <v>0</v>
      </c>
    </row>
    <row r="116" spans="1:11" s="42" customFormat="1" x14ac:dyDescent="0.25">
      <c r="A116" s="42">
        <v>5700</v>
      </c>
      <c r="B116" s="42" t="s">
        <v>128</v>
      </c>
      <c r="C116" s="4">
        <v>109053.06</v>
      </c>
      <c r="D116" s="4"/>
      <c r="I116" s="40">
        <f t="shared" si="5"/>
        <v>109053.06</v>
      </c>
      <c r="J116" s="40"/>
      <c r="K116" s="40">
        <v>6176</v>
      </c>
    </row>
    <row r="117" spans="1:11" s="42" customFormat="1" x14ac:dyDescent="0.25">
      <c r="A117" s="42">
        <v>5705</v>
      </c>
      <c r="B117" s="42" t="s">
        <v>129</v>
      </c>
      <c r="C117" s="4">
        <v>16272</v>
      </c>
      <c r="D117" s="4"/>
      <c r="I117" s="40">
        <f t="shared" si="5"/>
        <v>16272</v>
      </c>
      <c r="J117" s="40"/>
      <c r="K117" s="40">
        <v>0</v>
      </c>
    </row>
    <row r="118" spans="1:11" s="42" customFormat="1" x14ac:dyDescent="0.25">
      <c r="A118" s="42">
        <v>5720</v>
      </c>
      <c r="B118" s="42" t="s">
        <v>130</v>
      </c>
      <c r="C118" s="4">
        <v>1008628.02</v>
      </c>
      <c r="D118" s="4"/>
      <c r="I118" s="40">
        <f t="shared" si="5"/>
        <v>1008628.02</v>
      </c>
      <c r="J118" s="40"/>
      <c r="K118" s="40">
        <v>0</v>
      </c>
    </row>
    <row r="119" spans="1:11" s="42" customFormat="1" x14ac:dyDescent="0.25">
      <c r="A119" s="42">
        <v>5725</v>
      </c>
      <c r="B119" s="42" t="s">
        <v>131</v>
      </c>
      <c r="C119" s="4">
        <v>-303778.03999999998</v>
      </c>
      <c r="D119" s="4"/>
      <c r="I119" s="40">
        <f t="shared" si="5"/>
        <v>-303778.03999999998</v>
      </c>
      <c r="J119" s="40"/>
      <c r="K119" s="40">
        <v>0</v>
      </c>
    </row>
    <row r="120" spans="1:11" s="42" customFormat="1" x14ac:dyDescent="0.25">
      <c r="A120" s="42">
        <v>5730</v>
      </c>
      <c r="B120" s="42" t="s">
        <v>132</v>
      </c>
      <c r="C120" s="4">
        <v>165737.28</v>
      </c>
      <c r="D120" s="4"/>
      <c r="I120" s="40">
        <f t="shared" si="5"/>
        <v>165737.28</v>
      </c>
      <c r="J120" s="40"/>
      <c r="K120" s="40">
        <v>26409.87</v>
      </c>
    </row>
    <row r="121" spans="1:11" s="42" customFormat="1" x14ac:dyDescent="0.25">
      <c r="A121" s="42">
        <v>5740</v>
      </c>
      <c r="B121" s="42" t="s">
        <v>133</v>
      </c>
      <c r="C121" s="4">
        <v>20161.509999999998</v>
      </c>
      <c r="D121" s="4"/>
      <c r="I121" s="40">
        <f t="shared" si="5"/>
        <v>20161.509999999998</v>
      </c>
      <c r="J121" s="40"/>
      <c r="K121" s="40">
        <v>0</v>
      </c>
    </row>
    <row r="122" spans="1:11" s="42" customFormat="1" x14ac:dyDescent="0.25">
      <c r="A122" s="42">
        <v>5850</v>
      </c>
      <c r="B122" s="42" t="s">
        <v>134</v>
      </c>
      <c r="C122" s="4">
        <v>525091.37</v>
      </c>
      <c r="D122" s="4"/>
      <c r="I122" s="40">
        <f t="shared" si="5"/>
        <v>525091.37</v>
      </c>
      <c r="J122" s="40"/>
      <c r="K122" s="40">
        <v>55379.1</v>
      </c>
    </row>
    <row r="123" spans="1:11" s="42" customFormat="1" x14ac:dyDescent="0.25">
      <c r="A123" s="42">
        <v>5855</v>
      </c>
      <c r="B123" s="42" t="s">
        <v>135</v>
      </c>
      <c r="C123" s="4">
        <v>-33161.660000000003</v>
      </c>
      <c r="D123" s="4"/>
      <c r="I123" s="40">
        <f t="shared" si="5"/>
        <v>-33161.660000000003</v>
      </c>
      <c r="J123" s="40"/>
      <c r="K123" s="40">
        <v>-3779.05</v>
      </c>
    </row>
    <row r="124" spans="1:11" s="42" customFormat="1" x14ac:dyDescent="0.25">
      <c r="A124" s="42">
        <v>5900</v>
      </c>
      <c r="B124" s="42" t="s">
        <v>136</v>
      </c>
      <c r="C124" s="4">
        <v>-56959.43</v>
      </c>
      <c r="D124" s="4"/>
      <c r="I124" s="40">
        <f t="shared" si="5"/>
        <v>-56959.43</v>
      </c>
      <c r="J124" s="40"/>
      <c r="K124" s="40">
        <v>-18149.55</v>
      </c>
    </row>
    <row r="125" spans="1:11" s="42" customFormat="1" x14ac:dyDescent="0.25">
      <c r="A125" s="42">
        <v>5905</v>
      </c>
      <c r="B125" s="42" t="s">
        <v>137</v>
      </c>
      <c r="C125" s="4">
        <v>-30698.48</v>
      </c>
      <c r="D125" s="4"/>
      <c r="I125" s="40">
        <f t="shared" si="5"/>
        <v>-30698.48</v>
      </c>
      <c r="J125" s="40"/>
      <c r="K125" s="40">
        <v>-24310</v>
      </c>
    </row>
    <row r="126" spans="1:11" s="42" customFormat="1" x14ac:dyDescent="0.25">
      <c r="A126" s="42">
        <v>5998</v>
      </c>
      <c r="B126" s="42" t="s">
        <v>138</v>
      </c>
      <c r="C126" s="4">
        <v>-9610.83</v>
      </c>
      <c r="D126" s="4"/>
      <c r="I126" s="40">
        <f t="shared" si="5"/>
        <v>-9610.83</v>
      </c>
      <c r="J126" s="40"/>
      <c r="K126" s="40">
        <v>41389.760000000002</v>
      </c>
    </row>
    <row r="127" spans="1:11" s="42" customFormat="1" x14ac:dyDescent="0.25">
      <c r="A127" s="42">
        <v>5999</v>
      </c>
      <c r="B127" s="42" t="s">
        <v>139</v>
      </c>
      <c r="C127" s="4">
        <v>-1937375.11</v>
      </c>
      <c r="D127" s="4"/>
      <c r="I127" s="40">
        <f t="shared" si="5"/>
        <v>-1937375.11</v>
      </c>
      <c r="J127" s="40"/>
      <c r="K127" s="40">
        <v>-55665.79</v>
      </c>
    </row>
    <row r="128" spans="1:11" s="42" customFormat="1" x14ac:dyDescent="0.25">
      <c r="A128" s="42">
        <v>6000</v>
      </c>
      <c r="B128" s="42" t="s">
        <v>140</v>
      </c>
      <c r="C128" s="4">
        <v>28779686.489999998</v>
      </c>
      <c r="D128" s="4"/>
      <c r="I128" s="40">
        <f t="shared" si="5"/>
        <v>28779686.489999998</v>
      </c>
      <c r="J128" s="40"/>
      <c r="K128" s="40">
        <v>20182026.760000002</v>
      </c>
    </row>
    <row r="129" spans="1:11" s="42" customFormat="1" x14ac:dyDescent="0.25">
      <c r="A129" s="42">
        <v>6040</v>
      </c>
      <c r="B129" s="42" t="s">
        <v>141</v>
      </c>
      <c r="C129" s="4">
        <v>357141.27</v>
      </c>
      <c r="D129" s="4"/>
      <c r="I129" s="40">
        <f t="shared" si="5"/>
        <v>357141.27</v>
      </c>
      <c r="J129" s="40"/>
      <c r="K129" s="40">
        <v>433662.84</v>
      </c>
    </row>
    <row r="130" spans="1:11" s="42" customFormat="1" x14ac:dyDescent="0.25">
      <c r="A130" s="42">
        <v>6045</v>
      </c>
      <c r="B130" s="42" t="s">
        <v>142</v>
      </c>
      <c r="C130" s="4">
        <v>2189109.2799999998</v>
      </c>
      <c r="D130" s="4"/>
      <c r="I130" s="40">
        <f t="shared" si="5"/>
        <v>2189109.2799999998</v>
      </c>
      <c r="J130" s="40"/>
      <c r="K130" s="40">
        <v>1523276.66</v>
      </c>
    </row>
    <row r="131" spans="1:11" s="42" customFormat="1" x14ac:dyDescent="0.25">
      <c r="A131" s="42">
        <v>6050</v>
      </c>
      <c r="B131" s="42" t="s">
        <v>143</v>
      </c>
      <c r="C131" s="4">
        <v>2590</v>
      </c>
      <c r="D131" s="4"/>
      <c r="I131" s="40">
        <f t="shared" si="5"/>
        <v>2590</v>
      </c>
      <c r="J131" s="40"/>
      <c r="K131" s="40">
        <v>0</v>
      </c>
    </row>
    <row r="132" spans="1:11" s="42" customFormat="1" x14ac:dyDescent="0.25">
      <c r="A132" s="42">
        <v>6065</v>
      </c>
      <c r="B132" s="42" t="s">
        <v>144</v>
      </c>
      <c r="C132" s="4">
        <v>2161518.83</v>
      </c>
      <c r="D132" s="4"/>
      <c r="I132" s="40">
        <f t="shared" si="5"/>
        <v>2161518.83</v>
      </c>
      <c r="J132" s="40"/>
      <c r="K132" s="40">
        <v>1429985.9</v>
      </c>
    </row>
    <row r="133" spans="1:11" s="42" customFormat="1" x14ac:dyDescent="0.25">
      <c r="A133" s="42">
        <v>6070</v>
      </c>
      <c r="B133" s="42" t="s">
        <v>145</v>
      </c>
      <c r="C133" s="4">
        <v>2872622.1</v>
      </c>
      <c r="D133" s="4"/>
      <c r="I133" s="40">
        <f t="shared" si="5"/>
        <v>2872622.1</v>
      </c>
      <c r="J133" s="40"/>
      <c r="K133" s="40">
        <v>1918951.9</v>
      </c>
    </row>
    <row r="134" spans="1:11" s="42" customFormat="1" x14ac:dyDescent="0.25">
      <c r="A134" s="42">
        <v>6074</v>
      </c>
      <c r="B134" s="42" t="s">
        <v>146</v>
      </c>
      <c r="C134" s="4">
        <v>10530.37</v>
      </c>
      <c r="D134" s="4"/>
      <c r="I134" s="40">
        <f t="shared" si="5"/>
        <v>10530.37</v>
      </c>
      <c r="J134" s="40"/>
      <c r="K134" s="40">
        <v>0</v>
      </c>
    </row>
    <row r="135" spans="1:11" s="42" customFormat="1" x14ac:dyDescent="0.25">
      <c r="A135" s="42">
        <v>6080</v>
      </c>
      <c r="B135" s="42" t="s">
        <v>147</v>
      </c>
      <c r="C135" s="4">
        <v>1566</v>
      </c>
      <c r="D135" s="4"/>
      <c r="I135" s="40">
        <f t="shared" si="5"/>
        <v>1566</v>
      </c>
      <c r="J135" s="40"/>
      <c r="K135" s="40">
        <v>7414</v>
      </c>
    </row>
    <row r="136" spans="1:11" s="42" customFormat="1" x14ac:dyDescent="0.25">
      <c r="A136" s="42">
        <v>6082</v>
      </c>
      <c r="B136" s="42" t="s">
        <v>148</v>
      </c>
      <c r="C136" s="4">
        <v>6585.92</v>
      </c>
      <c r="D136" s="4"/>
      <c r="I136" s="40">
        <f t="shared" si="5"/>
        <v>6585.92</v>
      </c>
      <c r="J136" s="40"/>
      <c r="K136" s="40">
        <v>9926.83</v>
      </c>
    </row>
    <row r="137" spans="1:11" s="42" customFormat="1" x14ac:dyDescent="0.25">
      <c r="A137" s="42">
        <v>6083</v>
      </c>
      <c r="B137" s="42" t="s">
        <v>149</v>
      </c>
      <c r="C137" s="4">
        <v>4954.88</v>
      </c>
      <c r="D137" s="4"/>
      <c r="I137" s="40">
        <f t="shared" si="5"/>
        <v>4954.88</v>
      </c>
      <c r="J137" s="40"/>
      <c r="K137" s="40">
        <v>4616.88</v>
      </c>
    </row>
    <row r="138" spans="1:11" s="42" customFormat="1" x14ac:dyDescent="0.25">
      <c r="A138" s="42">
        <v>6100</v>
      </c>
      <c r="B138" s="42" t="s">
        <v>150</v>
      </c>
      <c r="C138" s="4">
        <v>78.27</v>
      </c>
      <c r="D138" s="4"/>
      <c r="I138" s="40">
        <f t="shared" si="5"/>
        <v>78.27</v>
      </c>
      <c r="J138" s="40"/>
      <c r="K138" s="40">
        <v>0</v>
      </c>
    </row>
    <row r="139" spans="1:11" s="42" customFormat="1" x14ac:dyDescent="0.25">
      <c r="A139" s="42">
        <v>6200</v>
      </c>
      <c r="B139" s="42" t="s">
        <v>151</v>
      </c>
      <c r="C139" s="4">
        <v>5190211.51</v>
      </c>
      <c r="D139" s="4"/>
      <c r="I139" s="40">
        <f t="shared" si="5"/>
        <v>5190211.51</v>
      </c>
      <c r="J139" s="40"/>
      <c r="K139" s="40">
        <v>2860183.65</v>
      </c>
    </row>
    <row r="140" spans="1:11" s="42" customFormat="1" x14ac:dyDescent="0.25">
      <c r="A140" s="42">
        <v>6250</v>
      </c>
      <c r="B140" s="42" t="s">
        <v>152</v>
      </c>
      <c r="C140" s="4">
        <v>1050000</v>
      </c>
      <c r="D140" s="4"/>
      <c r="I140" s="40">
        <f t="shared" si="5"/>
        <v>1050000</v>
      </c>
      <c r="J140" s="40"/>
      <c r="K140" s="40">
        <v>56250</v>
      </c>
    </row>
    <row r="141" spans="1:11" s="42" customFormat="1" x14ac:dyDescent="0.25">
      <c r="A141" s="42">
        <v>6300</v>
      </c>
      <c r="B141" s="42" t="s">
        <v>153</v>
      </c>
      <c r="C141" s="4">
        <v>185021.7</v>
      </c>
      <c r="D141" s="4"/>
      <c r="I141" s="40">
        <f t="shared" si="5"/>
        <v>185021.7</v>
      </c>
      <c r="J141" s="40"/>
      <c r="K141" s="40">
        <v>210221.56</v>
      </c>
    </row>
    <row r="142" spans="1:11" s="42" customFormat="1" x14ac:dyDescent="0.25">
      <c r="A142" s="42">
        <v>6305</v>
      </c>
      <c r="B142" s="42" t="s">
        <v>154</v>
      </c>
      <c r="C142" s="4">
        <v>-3137.38</v>
      </c>
      <c r="D142" s="4"/>
      <c r="I142" s="40">
        <f t="shared" si="5"/>
        <v>-3137.38</v>
      </c>
      <c r="J142" s="40"/>
      <c r="K142" s="40">
        <v>3137.37</v>
      </c>
    </row>
    <row r="143" spans="1:11" s="42" customFormat="1" x14ac:dyDescent="0.25">
      <c r="A143" s="42">
        <v>7100</v>
      </c>
      <c r="B143" s="42" t="s">
        <v>155</v>
      </c>
      <c r="C143" s="4">
        <v>5572914.3600000003</v>
      </c>
      <c r="D143" s="4"/>
      <c r="I143" s="40">
        <f t="shared" si="5"/>
        <v>5572914.3600000003</v>
      </c>
      <c r="J143" s="40"/>
      <c r="K143" s="40">
        <v>2654369.9500000002</v>
      </c>
    </row>
    <row r="144" spans="1:11" s="42" customFormat="1" x14ac:dyDescent="0.25">
      <c r="A144" s="42">
        <v>7150</v>
      </c>
      <c r="B144" s="42" t="s">
        <v>156</v>
      </c>
      <c r="C144" s="4">
        <v>848646.73</v>
      </c>
      <c r="D144" s="4"/>
      <c r="I144" s="40">
        <f t="shared" si="5"/>
        <v>848646.73</v>
      </c>
      <c r="J144" s="40"/>
      <c r="K144" s="40">
        <v>9124.4699999999993</v>
      </c>
    </row>
    <row r="145" spans="1:11" s="42" customFormat="1" x14ac:dyDescent="0.25">
      <c r="A145" s="42">
        <v>7500</v>
      </c>
      <c r="B145" s="42" t="s">
        <v>157</v>
      </c>
      <c r="C145" s="4">
        <v>285881.59000000003</v>
      </c>
      <c r="D145" s="4"/>
      <c r="I145" s="40">
        <f t="shared" si="5"/>
        <v>285881.59000000003</v>
      </c>
      <c r="J145" s="40"/>
      <c r="K145" s="40">
        <v>197881.52</v>
      </c>
    </row>
    <row r="146" spans="1:11" s="42" customFormat="1" x14ac:dyDescent="0.25">
      <c r="A146" s="42">
        <v>7505</v>
      </c>
      <c r="B146" s="42" t="s">
        <v>158</v>
      </c>
      <c r="C146" s="4">
        <v>2908037.21</v>
      </c>
      <c r="D146" s="4"/>
      <c r="I146" s="40">
        <f t="shared" si="5"/>
        <v>2908037.21</v>
      </c>
      <c r="J146" s="40"/>
      <c r="K146" s="40">
        <v>4407979.96</v>
      </c>
    </row>
    <row r="147" spans="1:11" s="42" customFormat="1" x14ac:dyDescent="0.25">
      <c r="A147" s="43">
        <v>7510</v>
      </c>
      <c r="B147" s="43" t="s">
        <v>372</v>
      </c>
      <c r="C147" s="43">
        <v>0</v>
      </c>
      <c r="D147" s="4"/>
      <c r="I147" s="40"/>
      <c r="J147" s="40"/>
      <c r="K147" s="40">
        <v>12900</v>
      </c>
    </row>
    <row r="148" spans="1:11" s="42" customFormat="1" x14ac:dyDescent="0.25">
      <c r="A148" s="42">
        <v>7515</v>
      </c>
      <c r="B148" s="42" t="s">
        <v>159</v>
      </c>
      <c r="C148" s="4">
        <v>650816.54</v>
      </c>
      <c r="D148" s="4"/>
      <c r="I148" s="40">
        <f t="shared" ref="I148:I155" si="6">SUM(C148:H148)</f>
        <v>650816.54</v>
      </c>
      <c r="J148" s="40"/>
      <c r="K148" s="40">
        <v>512710.33</v>
      </c>
    </row>
    <row r="149" spans="1:11" s="42" customFormat="1" x14ac:dyDescent="0.25">
      <c r="A149" s="42">
        <v>7520</v>
      </c>
      <c r="B149" s="42" t="s">
        <v>160</v>
      </c>
      <c r="C149" s="4">
        <v>128363.12</v>
      </c>
      <c r="D149" s="4"/>
      <c r="I149" s="40">
        <f t="shared" si="6"/>
        <v>128363.12</v>
      </c>
      <c r="J149" s="40"/>
      <c r="K149" s="40">
        <v>132531.73000000001</v>
      </c>
    </row>
    <row r="150" spans="1:11" s="42" customFormat="1" x14ac:dyDescent="0.25">
      <c r="A150" s="42">
        <v>7525</v>
      </c>
      <c r="B150" s="42" t="s">
        <v>161</v>
      </c>
      <c r="C150" s="4">
        <v>32952.75</v>
      </c>
      <c r="D150" s="4"/>
      <c r="I150" s="40">
        <f t="shared" si="6"/>
        <v>32952.75</v>
      </c>
      <c r="J150" s="40"/>
      <c r="K150" s="40">
        <v>20687.53</v>
      </c>
    </row>
    <row r="151" spans="1:11" s="42" customFormat="1" x14ac:dyDescent="0.25">
      <c r="A151" s="42">
        <v>7530</v>
      </c>
      <c r="B151" s="42" t="s">
        <v>162</v>
      </c>
      <c r="C151" s="4">
        <v>2905101.19</v>
      </c>
      <c r="D151" s="4"/>
      <c r="I151" s="40">
        <f t="shared" si="6"/>
        <v>2905101.19</v>
      </c>
      <c r="J151" s="40"/>
      <c r="K151" s="40">
        <v>1811256.43</v>
      </c>
    </row>
    <row r="152" spans="1:11" s="42" customFormat="1" x14ac:dyDescent="0.25">
      <c r="A152" s="42">
        <v>7531</v>
      </c>
      <c r="B152" s="42" t="s">
        <v>163</v>
      </c>
      <c r="C152" s="4">
        <v>64161.17</v>
      </c>
      <c r="D152" s="4"/>
      <c r="I152" s="40">
        <f t="shared" si="6"/>
        <v>64161.17</v>
      </c>
      <c r="J152" s="40"/>
      <c r="K152" s="40">
        <v>28200.59</v>
      </c>
    </row>
    <row r="153" spans="1:11" s="42" customFormat="1" x14ac:dyDescent="0.25">
      <c r="A153" s="42">
        <v>7532</v>
      </c>
      <c r="B153" s="42" t="s">
        <v>164</v>
      </c>
      <c r="C153" s="4">
        <v>-9.76</v>
      </c>
      <c r="D153" s="4"/>
      <c r="I153" s="40">
        <f t="shared" si="6"/>
        <v>-9.76</v>
      </c>
      <c r="J153" s="40"/>
      <c r="K153" s="40">
        <v>0</v>
      </c>
    </row>
    <row r="154" spans="1:11" s="42" customFormat="1" x14ac:dyDescent="0.25">
      <c r="A154" s="42">
        <v>7535</v>
      </c>
      <c r="B154" s="42" t="s">
        <v>165</v>
      </c>
      <c r="C154" s="4">
        <v>48616.72</v>
      </c>
      <c r="D154" s="4"/>
      <c r="I154" s="40">
        <f t="shared" si="6"/>
        <v>48616.72</v>
      </c>
      <c r="J154" s="40"/>
      <c r="K154" s="40">
        <v>10748</v>
      </c>
    </row>
    <row r="155" spans="1:11" s="42" customFormat="1" x14ac:dyDescent="0.25">
      <c r="A155" s="42">
        <v>7540</v>
      </c>
      <c r="B155" s="42" t="s">
        <v>166</v>
      </c>
      <c r="C155" s="4">
        <v>115251.64</v>
      </c>
      <c r="D155" s="4"/>
      <c r="I155" s="40">
        <f t="shared" si="6"/>
        <v>115251.64</v>
      </c>
      <c r="J155" s="40"/>
      <c r="K155" s="40">
        <v>90547.199999999997</v>
      </c>
    </row>
    <row r="156" spans="1:11" s="42" customFormat="1" x14ac:dyDescent="0.25">
      <c r="A156" s="43">
        <v>7545</v>
      </c>
      <c r="B156" s="43" t="s">
        <v>374</v>
      </c>
      <c r="C156" s="43">
        <v>0</v>
      </c>
      <c r="D156" s="4"/>
      <c r="I156" s="40"/>
      <c r="J156" s="40"/>
      <c r="K156" s="40">
        <v>293</v>
      </c>
    </row>
    <row r="157" spans="1:11" s="42" customFormat="1" x14ac:dyDescent="0.25">
      <c r="A157" s="42">
        <v>7550</v>
      </c>
      <c r="B157" s="42" t="s">
        <v>167</v>
      </c>
      <c r="C157" s="4">
        <v>197544.28</v>
      </c>
      <c r="D157" s="4"/>
      <c r="I157" s="40">
        <f>SUM(C157:H157)</f>
        <v>197544.28</v>
      </c>
      <c r="J157" s="40"/>
      <c r="K157" s="40">
        <v>45859.85</v>
      </c>
    </row>
    <row r="158" spans="1:11" s="42" customFormat="1" x14ac:dyDescent="0.25">
      <c r="A158" s="42">
        <v>7555</v>
      </c>
      <c r="B158" s="42" t="s">
        <v>168</v>
      </c>
      <c r="C158" s="4">
        <v>52012.81</v>
      </c>
      <c r="D158" s="4"/>
      <c r="I158" s="40">
        <f>SUM(C158:H158)</f>
        <v>52012.81</v>
      </c>
      <c r="J158" s="40"/>
      <c r="K158" s="40">
        <v>87050.49</v>
      </c>
    </row>
    <row r="159" spans="1:11" s="42" customFormat="1" x14ac:dyDescent="0.25">
      <c r="A159" s="42">
        <v>7561</v>
      </c>
      <c r="B159" s="42" t="s">
        <v>169</v>
      </c>
      <c r="C159" s="4">
        <v>37784.28</v>
      </c>
      <c r="D159" s="4"/>
      <c r="I159" s="40">
        <f>SUM(C159:H159)</f>
        <v>37784.28</v>
      </c>
      <c r="J159" s="40"/>
      <c r="K159" s="40">
        <v>214899.99</v>
      </c>
    </row>
    <row r="160" spans="1:11" s="42" customFormat="1" x14ac:dyDescent="0.25">
      <c r="A160" s="42">
        <v>7800</v>
      </c>
      <c r="B160" s="42" t="s">
        <v>170</v>
      </c>
      <c r="C160" s="4">
        <v>4217472.09</v>
      </c>
      <c r="D160" s="4"/>
      <c r="G160" s="45">
        <f>-SUM(G24:G28)</f>
        <v>15240.200000000008</v>
      </c>
      <c r="I160" s="40">
        <f>SUM(C160:H160)</f>
        <v>4232712.29</v>
      </c>
      <c r="J160" s="40"/>
      <c r="K160" s="40">
        <v>6045596.5099999998</v>
      </c>
    </row>
    <row r="161" spans="1:11" s="42" customFormat="1" x14ac:dyDescent="0.25">
      <c r="A161" s="42">
        <v>7805</v>
      </c>
      <c r="B161" s="42" t="s">
        <v>171</v>
      </c>
      <c r="C161" s="4">
        <v>354.39</v>
      </c>
      <c r="D161" s="4"/>
      <c r="I161" s="40">
        <f>SUM(C161:H161)</f>
        <v>354.39</v>
      </c>
      <c r="J161" s="40"/>
      <c r="K161" s="40">
        <v>687.08</v>
      </c>
    </row>
    <row r="162" spans="1:11" s="42" customFormat="1" x14ac:dyDescent="0.25">
      <c r="A162" s="43">
        <v>7810</v>
      </c>
      <c r="B162" s="43" t="s">
        <v>375</v>
      </c>
      <c r="C162" s="43">
        <v>0</v>
      </c>
      <c r="D162" s="4"/>
      <c r="I162" s="40"/>
      <c r="J162" s="40"/>
      <c r="K162" s="40">
        <v>22.57</v>
      </c>
    </row>
    <row r="163" spans="1:11" s="42" customFormat="1" x14ac:dyDescent="0.25">
      <c r="A163" s="42">
        <v>7815</v>
      </c>
      <c r="B163" s="42" t="s">
        <v>172</v>
      </c>
      <c r="C163" s="4">
        <v>232.97</v>
      </c>
      <c r="D163" s="4"/>
      <c r="I163" s="40">
        <f t="shared" ref="I163:I183" si="7">SUM(C163:H163)</f>
        <v>232.97</v>
      </c>
      <c r="J163" s="40"/>
      <c r="K163" s="40">
        <v>2000</v>
      </c>
    </row>
    <row r="164" spans="1:11" s="42" customFormat="1" x14ac:dyDescent="0.25">
      <c r="A164" s="42">
        <v>7825</v>
      </c>
      <c r="B164" s="42" t="s">
        <v>173</v>
      </c>
      <c r="C164" s="4">
        <v>1188854.98</v>
      </c>
      <c r="D164" s="4"/>
      <c r="I164" s="40">
        <f t="shared" si="7"/>
        <v>1188854.98</v>
      </c>
      <c r="J164" s="40"/>
      <c r="K164" s="40">
        <v>2496733.59</v>
      </c>
    </row>
    <row r="165" spans="1:11" s="42" customFormat="1" x14ac:dyDescent="0.25">
      <c r="A165" s="42">
        <v>7830</v>
      </c>
      <c r="B165" s="42" t="s">
        <v>174</v>
      </c>
      <c r="C165" s="4">
        <v>66796.800000000003</v>
      </c>
      <c r="D165" s="4"/>
      <c r="I165" s="40">
        <f t="shared" si="7"/>
        <v>66796.800000000003</v>
      </c>
      <c r="J165" s="40"/>
      <c r="K165" s="40">
        <v>318217.82</v>
      </c>
    </row>
    <row r="166" spans="1:11" s="42" customFormat="1" x14ac:dyDescent="0.25">
      <c r="A166" s="42">
        <v>7831</v>
      </c>
      <c r="B166" s="42" t="s">
        <v>175</v>
      </c>
      <c r="C166" s="4">
        <v>-114.37</v>
      </c>
      <c r="D166" s="4"/>
      <c r="I166" s="40">
        <f t="shared" si="7"/>
        <v>-114.37</v>
      </c>
      <c r="J166" s="40"/>
      <c r="K166" s="40">
        <v>0</v>
      </c>
    </row>
    <row r="167" spans="1:11" s="42" customFormat="1" x14ac:dyDescent="0.25">
      <c r="A167" s="42">
        <v>7832</v>
      </c>
      <c r="B167" s="42" t="s">
        <v>176</v>
      </c>
      <c r="C167" s="4">
        <v>30347.919999999998</v>
      </c>
      <c r="D167" s="4"/>
      <c r="I167" s="40">
        <f t="shared" si="7"/>
        <v>30347.919999999998</v>
      </c>
      <c r="J167" s="40"/>
      <c r="K167" s="40">
        <v>4887.9399999999996</v>
      </c>
    </row>
    <row r="168" spans="1:11" s="42" customFormat="1" x14ac:dyDescent="0.25">
      <c r="A168" s="42">
        <v>7835</v>
      </c>
      <c r="B168" s="42" t="s">
        <v>177</v>
      </c>
      <c r="C168" s="4">
        <v>19325.87</v>
      </c>
      <c r="D168" s="4"/>
      <c r="I168" s="40">
        <f t="shared" si="7"/>
        <v>19325.87</v>
      </c>
      <c r="J168" s="40"/>
      <c r="K168" s="40">
        <v>31576.01</v>
      </c>
    </row>
    <row r="169" spans="1:11" s="42" customFormat="1" x14ac:dyDescent="0.25">
      <c r="A169" s="42">
        <v>7836</v>
      </c>
      <c r="B169" s="42" t="s">
        <v>178</v>
      </c>
      <c r="C169" s="4">
        <v>311.64999999999998</v>
      </c>
      <c r="D169" s="4"/>
      <c r="I169" s="40">
        <f t="shared" si="7"/>
        <v>311.64999999999998</v>
      </c>
      <c r="J169" s="40"/>
      <c r="K169" s="40">
        <v>0</v>
      </c>
    </row>
    <row r="170" spans="1:11" s="42" customFormat="1" x14ac:dyDescent="0.25">
      <c r="A170" s="42">
        <v>7840</v>
      </c>
      <c r="B170" s="42" t="s">
        <v>179</v>
      </c>
      <c r="C170" s="4">
        <v>1567939.4</v>
      </c>
      <c r="D170" s="4"/>
      <c r="I170" s="40">
        <f t="shared" si="7"/>
        <v>1567939.4</v>
      </c>
      <c r="J170" s="40"/>
      <c r="K170" s="40">
        <v>1165443.67</v>
      </c>
    </row>
    <row r="171" spans="1:11" s="42" customFormat="1" x14ac:dyDescent="0.25">
      <c r="A171" s="42">
        <v>7845</v>
      </c>
      <c r="B171" s="42" t="s">
        <v>180</v>
      </c>
      <c r="C171" s="4">
        <v>258982.06</v>
      </c>
      <c r="D171" s="4"/>
      <c r="I171" s="40">
        <f t="shared" si="7"/>
        <v>258982.06</v>
      </c>
      <c r="J171" s="40"/>
      <c r="K171" s="40">
        <v>522641.53</v>
      </c>
    </row>
    <row r="172" spans="1:11" s="42" customFormat="1" x14ac:dyDescent="0.25">
      <c r="A172" s="42">
        <v>7846</v>
      </c>
      <c r="B172" s="42" t="s">
        <v>181</v>
      </c>
      <c r="C172" s="4">
        <v>602252.31999999995</v>
      </c>
      <c r="D172" s="4"/>
      <c r="I172" s="40">
        <f t="shared" si="7"/>
        <v>602252.31999999995</v>
      </c>
      <c r="J172" s="40"/>
      <c r="K172" s="40">
        <v>55379.1</v>
      </c>
    </row>
    <row r="173" spans="1:11" s="42" customFormat="1" x14ac:dyDescent="0.25">
      <c r="A173" s="42">
        <v>7847</v>
      </c>
      <c r="B173" s="42" t="s">
        <v>182</v>
      </c>
      <c r="C173" s="4">
        <v>25809.96</v>
      </c>
      <c r="D173" s="4"/>
      <c r="I173" s="40">
        <f t="shared" si="7"/>
        <v>25809.96</v>
      </c>
      <c r="J173" s="40"/>
      <c r="K173" s="40">
        <v>8801.08</v>
      </c>
    </row>
    <row r="174" spans="1:11" s="42" customFormat="1" x14ac:dyDescent="0.25">
      <c r="A174" s="42">
        <v>7850</v>
      </c>
      <c r="B174" s="42" t="s">
        <v>183</v>
      </c>
      <c r="C174" s="4">
        <v>2464.8000000000002</v>
      </c>
      <c r="D174" s="4"/>
      <c r="I174" s="40">
        <f t="shared" si="7"/>
        <v>2464.8000000000002</v>
      </c>
      <c r="J174" s="40"/>
      <c r="K174" s="40">
        <v>4163.76</v>
      </c>
    </row>
    <row r="175" spans="1:11" s="42" customFormat="1" x14ac:dyDescent="0.25">
      <c r="A175" s="42">
        <v>7851</v>
      </c>
      <c r="B175" s="42" t="s">
        <v>184</v>
      </c>
      <c r="C175" s="4">
        <v>4256.9399999999996</v>
      </c>
      <c r="D175" s="4"/>
      <c r="I175" s="40">
        <f t="shared" si="7"/>
        <v>4256.9399999999996</v>
      </c>
      <c r="J175" s="40"/>
      <c r="K175" s="40">
        <v>3640.35</v>
      </c>
    </row>
    <row r="176" spans="1:11" s="42" customFormat="1" x14ac:dyDescent="0.25">
      <c r="A176" s="42">
        <v>7855</v>
      </c>
      <c r="B176" s="42" t="s">
        <v>185</v>
      </c>
      <c r="C176" s="4">
        <v>601</v>
      </c>
      <c r="D176" s="4"/>
      <c r="I176" s="40">
        <f t="shared" si="7"/>
        <v>601</v>
      </c>
      <c r="J176" s="40"/>
      <c r="K176" s="40">
        <v>0</v>
      </c>
    </row>
    <row r="177" spans="1:11" s="42" customFormat="1" x14ac:dyDescent="0.25">
      <c r="A177" s="42">
        <v>7865</v>
      </c>
      <c r="B177" s="42" t="s">
        <v>186</v>
      </c>
      <c r="C177" s="4">
        <v>2208.3000000000002</v>
      </c>
      <c r="D177" s="4"/>
      <c r="I177" s="40">
        <f t="shared" si="7"/>
        <v>2208.3000000000002</v>
      </c>
      <c r="J177" s="40"/>
      <c r="K177" s="40">
        <v>335</v>
      </c>
    </row>
    <row r="178" spans="1:11" s="42" customFormat="1" x14ac:dyDescent="0.25">
      <c r="A178" s="42">
        <v>7870</v>
      </c>
      <c r="B178" s="42" t="s">
        <v>187</v>
      </c>
      <c r="C178" s="4">
        <v>509685.09</v>
      </c>
      <c r="D178" s="4"/>
      <c r="I178" s="40">
        <f t="shared" si="7"/>
        <v>509685.09</v>
      </c>
      <c r="J178" s="40"/>
      <c r="K178" s="40">
        <v>463892.38</v>
      </c>
    </row>
    <row r="179" spans="1:11" s="42" customFormat="1" x14ac:dyDescent="0.25">
      <c r="A179" s="42">
        <v>7875</v>
      </c>
      <c r="B179" s="42" t="s">
        <v>188</v>
      </c>
      <c r="C179" s="4">
        <v>145629.85</v>
      </c>
      <c r="D179" s="4"/>
      <c r="I179" s="40">
        <f t="shared" si="7"/>
        <v>145629.85</v>
      </c>
      <c r="J179" s="40"/>
      <c r="K179" s="40">
        <v>23832.5</v>
      </c>
    </row>
    <row r="180" spans="1:11" s="42" customFormat="1" x14ac:dyDescent="0.25">
      <c r="A180" s="42">
        <v>7999</v>
      </c>
      <c r="B180" s="42" t="s">
        <v>189</v>
      </c>
      <c r="C180" s="4">
        <v>1411083.94</v>
      </c>
      <c r="D180" s="4"/>
      <c r="I180" s="40">
        <f t="shared" si="7"/>
        <v>1411083.94</v>
      </c>
      <c r="J180" s="40"/>
      <c r="K180" s="40">
        <v>-11326.88</v>
      </c>
    </row>
    <row r="181" spans="1:11" s="42" customFormat="1" x14ac:dyDescent="0.25">
      <c r="A181" s="42">
        <v>8000</v>
      </c>
      <c r="B181" s="42" t="s">
        <v>190</v>
      </c>
      <c r="C181" s="4">
        <v>29450.47</v>
      </c>
      <c r="D181" s="4"/>
      <c r="I181" s="40">
        <f t="shared" si="7"/>
        <v>29450.47</v>
      </c>
      <c r="J181" s="40"/>
      <c r="K181" s="40">
        <v>32772.14</v>
      </c>
    </row>
    <row r="182" spans="1:11" s="42" customFormat="1" x14ac:dyDescent="0.25">
      <c r="A182" s="42">
        <v>8015</v>
      </c>
      <c r="B182" s="42" t="s">
        <v>191</v>
      </c>
      <c r="C182" s="4">
        <v>6566492.8600000003</v>
      </c>
      <c r="D182" s="4"/>
      <c r="I182" s="40">
        <f t="shared" si="7"/>
        <v>6566492.8600000003</v>
      </c>
      <c r="J182" s="40"/>
      <c r="K182" s="40">
        <v>1212276.3</v>
      </c>
    </row>
    <row r="183" spans="1:11" s="42" customFormat="1" x14ac:dyDescent="0.25">
      <c r="A183" s="42">
        <v>8020</v>
      </c>
      <c r="B183" s="42" t="s">
        <v>192</v>
      </c>
      <c r="C183" s="4">
        <v>2092.6</v>
      </c>
      <c r="D183" s="4"/>
      <c r="I183" s="40">
        <f t="shared" si="7"/>
        <v>2092.6</v>
      </c>
      <c r="J183" s="40"/>
      <c r="K183" s="40">
        <v>0</v>
      </c>
    </row>
    <row r="184" spans="1:11" s="42" customFormat="1" x14ac:dyDescent="0.25">
      <c r="A184" s="43">
        <v>8025</v>
      </c>
      <c r="B184" s="43" t="s">
        <v>388</v>
      </c>
      <c r="C184" s="43">
        <v>0</v>
      </c>
      <c r="D184" s="4"/>
      <c r="I184" s="40"/>
      <c r="J184" s="40"/>
      <c r="K184" s="40">
        <v>526.52</v>
      </c>
    </row>
    <row r="185" spans="1:11" s="42" customFormat="1" x14ac:dyDescent="0.25">
      <c r="A185" s="42">
        <v>8030</v>
      </c>
      <c r="B185" s="42" t="s">
        <v>193</v>
      </c>
      <c r="C185" s="4">
        <v>215.33</v>
      </c>
      <c r="D185" s="4"/>
      <c r="I185" s="40">
        <f t="shared" ref="I185:I190" si="8">SUM(C185:H185)</f>
        <v>215.33</v>
      </c>
      <c r="J185" s="40"/>
      <c r="K185" s="40">
        <v>0</v>
      </c>
    </row>
    <row r="186" spans="1:11" s="42" customFormat="1" x14ac:dyDescent="0.25">
      <c r="A186" s="42">
        <v>8035</v>
      </c>
      <c r="B186" s="42" t="s">
        <v>194</v>
      </c>
      <c r="C186" s="4">
        <v>229</v>
      </c>
      <c r="D186" s="4"/>
      <c r="I186" s="40">
        <f t="shared" si="8"/>
        <v>229</v>
      </c>
      <c r="J186" s="40"/>
      <c r="K186" s="40">
        <v>0</v>
      </c>
    </row>
    <row r="187" spans="1:11" s="42" customFormat="1" x14ac:dyDescent="0.25">
      <c r="A187" s="42">
        <v>8045</v>
      </c>
      <c r="B187" s="42" t="s">
        <v>195</v>
      </c>
      <c r="C187" s="4">
        <v>1886.24</v>
      </c>
      <c r="D187" s="4"/>
      <c r="I187" s="40">
        <f t="shared" si="8"/>
        <v>1886.24</v>
      </c>
      <c r="J187" s="40"/>
      <c r="K187" s="40">
        <v>3228.72</v>
      </c>
    </row>
    <row r="188" spans="1:11" s="42" customFormat="1" x14ac:dyDescent="0.25">
      <c r="A188" s="42">
        <v>8046</v>
      </c>
      <c r="B188" s="42" t="s">
        <v>196</v>
      </c>
      <c r="C188" s="4">
        <v>316884.01</v>
      </c>
      <c r="D188" s="4"/>
      <c r="I188" s="40">
        <f t="shared" si="8"/>
        <v>316884.01</v>
      </c>
      <c r="J188" s="40"/>
      <c r="K188" s="40">
        <v>14995</v>
      </c>
    </row>
    <row r="189" spans="1:11" s="42" customFormat="1" x14ac:dyDescent="0.25">
      <c r="A189" s="42">
        <v>8050</v>
      </c>
      <c r="B189" s="42" t="s">
        <v>197</v>
      </c>
      <c r="C189" s="4">
        <v>767527.06</v>
      </c>
      <c r="D189" s="4"/>
      <c r="I189" s="40">
        <f t="shared" si="8"/>
        <v>767527.06</v>
      </c>
      <c r="J189" s="40"/>
      <c r="K189" s="40">
        <v>11111.11</v>
      </c>
    </row>
    <row r="190" spans="1:11" s="42" customFormat="1" x14ac:dyDescent="0.25">
      <c r="A190" s="42">
        <v>8100</v>
      </c>
      <c r="B190" s="42" t="s">
        <v>198</v>
      </c>
      <c r="C190" s="4">
        <v>20578.66</v>
      </c>
      <c r="D190" s="4"/>
      <c r="I190" s="40">
        <f t="shared" si="8"/>
        <v>20578.66</v>
      </c>
      <c r="J190" s="40"/>
      <c r="K190" s="40">
        <v>7181.71</v>
      </c>
    </row>
    <row r="191" spans="1:11" s="42" customFormat="1" x14ac:dyDescent="0.25">
      <c r="A191" s="43">
        <v>8105</v>
      </c>
      <c r="B191" s="43" t="s">
        <v>389</v>
      </c>
      <c r="C191" s="43">
        <v>0</v>
      </c>
      <c r="D191" s="4"/>
      <c r="I191" s="40"/>
      <c r="J191" s="40"/>
      <c r="K191" s="40">
        <v>100000</v>
      </c>
    </row>
    <row r="192" spans="1:11" s="42" customFormat="1" x14ac:dyDescent="0.25">
      <c r="A192" s="42">
        <v>8110</v>
      </c>
      <c r="B192" s="42" t="s">
        <v>199</v>
      </c>
      <c r="C192" s="4">
        <v>21000</v>
      </c>
      <c r="D192" s="4"/>
      <c r="I192" s="40">
        <f t="shared" ref="I192:I197" si="9">SUM(C192:H192)</f>
        <v>21000</v>
      </c>
      <c r="J192" s="40"/>
      <c r="K192" s="40">
        <v>25575</v>
      </c>
    </row>
    <row r="193" spans="1:11" s="42" customFormat="1" x14ac:dyDescent="0.25">
      <c r="A193" s="42">
        <v>8115</v>
      </c>
      <c r="B193" s="42" t="s">
        <v>200</v>
      </c>
      <c r="C193" s="4">
        <v>651076.5</v>
      </c>
      <c r="D193" s="4"/>
      <c r="F193" s="45">
        <f>-F105</f>
        <v>10021.51</v>
      </c>
      <c r="I193" s="40">
        <f t="shared" si="9"/>
        <v>661098.01</v>
      </c>
      <c r="J193" s="40"/>
      <c r="K193" s="40">
        <v>158340.45000000001</v>
      </c>
    </row>
    <row r="194" spans="1:11" s="42" customFormat="1" x14ac:dyDescent="0.25">
      <c r="A194" s="42">
        <v>8117</v>
      </c>
      <c r="B194" s="42" t="s">
        <v>201</v>
      </c>
      <c r="C194" s="4">
        <v>7079.2</v>
      </c>
      <c r="D194" s="4"/>
      <c r="I194" s="40">
        <f t="shared" si="9"/>
        <v>7079.2</v>
      </c>
      <c r="J194" s="40"/>
      <c r="K194" s="40">
        <v>1109811.05</v>
      </c>
    </row>
    <row r="195" spans="1:11" s="42" customFormat="1" x14ac:dyDescent="0.25">
      <c r="A195" s="42">
        <v>8120</v>
      </c>
      <c r="B195" s="42" t="s">
        <v>202</v>
      </c>
      <c r="C195" s="4">
        <v>6197019.2999999998</v>
      </c>
      <c r="D195" s="4"/>
      <c r="I195" s="40">
        <f t="shared" si="9"/>
        <v>6197019.2999999998</v>
      </c>
      <c r="J195" s="40"/>
      <c r="K195" s="40">
        <v>1829174.32</v>
      </c>
    </row>
    <row r="196" spans="1:11" s="42" customFormat="1" x14ac:dyDescent="0.25">
      <c r="A196" s="42">
        <v>8125</v>
      </c>
      <c r="B196" s="42" t="s">
        <v>203</v>
      </c>
      <c r="C196" s="4">
        <v>1286896.1200000001</v>
      </c>
      <c r="D196" s="4"/>
      <c r="I196" s="40">
        <f t="shared" si="9"/>
        <v>1286896.1200000001</v>
      </c>
      <c r="J196" s="40"/>
      <c r="K196" s="40">
        <v>1416019.87</v>
      </c>
    </row>
    <row r="197" spans="1:11" s="42" customFormat="1" x14ac:dyDescent="0.25">
      <c r="A197" s="42">
        <v>8130</v>
      </c>
      <c r="B197" s="42" t="s">
        <v>204</v>
      </c>
      <c r="C197" s="4">
        <v>609701.74</v>
      </c>
      <c r="D197" s="4"/>
      <c r="I197" s="40">
        <f t="shared" si="9"/>
        <v>609701.74</v>
      </c>
      <c r="J197" s="40"/>
      <c r="K197" s="40">
        <v>209426.09</v>
      </c>
    </row>
    <row r="198" spans="1:11" s="42" customFormat="1" x14ac:dyDescent="0.25">
      <c r="A198" s="43">
        <v>8132</v>
      </c>
      <c r="B198" s="43" t="s">
        <v>390</v>
      </c>
      <c r="C198" s="43">
        <v>0</v>
      </c>
      <c r="D198" s="4"/>
      <c r="I198" s="40"/>
      <c r="J198" s="40"/>
      <c r="K198" s="40">
        <v>102</v>
      </c>
    </row>
    <row r="199" spans="1:11" s="42" customFormat="1" x14ac:dyDescent="0.25">
      <c r="A199" s="43">
        <v>8135</v>
      </c>
      <c r="B199" s="43" t="s">
        <v>391</v>
      </c>
      <c r="C199" s="43">
        <v>0</v>
      </c>
      <c r="D199" s="4"/>
      <c r="I199" s="40"/>
      <c r="J199" s="40"/>
      <c r="K199" s="40">
        <v>2655</v>
      </c>
    </row>
    <row r="200" spans="1:11" s="42" customFormat="1" x14ac:dyDescent="0.25">
      <c r="A200" s="42">
        <v>8140</v>
      </c>
      <c r="B200" s="42" t="s">
        <v>205</v>
      </c>
      <c r="C200" s="4">
        <v>16775.13</v>
      </c>
      <c r="D200" s="4"/>
      <c r="I200" s="40">
        <f t="shared" ref="I200:I240" si="10">SUM(C200:H200)</f>
        <v>16775.13</v>
      </c>
      <c r="J200" s="40"/>
      <c r="K200" s="40">
        <v>122760.01</v>
      </c>
    </row>
    <row r="201" spans="1:11" s="42" customFormat="1" x14ac:dyDescent="0.25">
      <c r="A201" s="42">
        <v>8150</v>
      </c>
      <c r="B201" s="42" t="s">
        <v>206</v>
      </c>
      <c r="C201" s="4">
        <v>26912.22</v>
      </c>
      <c r="D201" s="4"/>
      <c r="I201" s="40">
        <f t="shared" si="10"/>
        <v>26912.22</v>
      </c>
      <c r="J201" s="40"/>
      <c r="K201" s="40">
        <v>2667.9</v>
      </c>
    </row>
    <row r="202" spans="1:11" s="42" customFormat="1" x14ac:dyDescent="0.25">
      <c r="A202" s="42">
        <v>8200</v>
      </c>
      <c r="B202" s="42" t="s">
        <v>207</v>
      </c>
      <c r="C202" s="4">
        <v>230131.96</v>
      </c>
      <c r="D202" s="4"/>
      <c r="I202" s="40">
        <f t="shared" si="10"/>
        <v>230131.96</v>
      </c>
      <c r="J202" s="40"/>
      <c r="K202" s="40">
        <v>126554.95</v>
      </c>
    </row>
    <row r="203" spans="1:11" s="42" customFormat="1" x14ac:dyDescent="0.25">
      <c r="A203" s="42">
        <v>8205</v>
      </c>
      <c r="B203" s="42" t="s">
        <v>208</v>
      </c>
      <c r="C203" s="4">
        <v>72411.11</v>
      </c>
      <c r="D203" s="4"/>
      <c r="I203" s="40">
        <f t="shared" si="10"/>
        <v>72411.11</v>
      </c>
      <c r="J203" s="40"/>
      <c r="K203" s="40">
        <v>55040.17</v>
      </c>
    </row>
    <row r="204" spans="1:11" s="42" customFormat="1" x14ac:dyDescent="0.25">
      <c r="A204" s="42">
        <v>8300</v>
      </c>
      <c r="B204" s="42" t="s">
        <v>209</v>
      </c>
      <c r="C204" s="4">
        <v>194695.64</v>
      </c>
      <c r="D204" s="4"/>
      <c r="I204" s="40">
        <f t="shared" si="10"/>
        <v>194695.64</v>
      </c>
      <c r="J204" s="40"/>
      <c r="K204" s="40">
        <v>291985.32</v>
      </c>
    </row>
    <row r="205" spans="1:11" s="42" customFormat="1" x14ac:dyDescent="0.25">
      <c r="A205" s="42">
        <v>8301</v>
      </c>
      <c r="B205" s="42" t="s">
        <v>210</v>
      </c>
      <c r="C205" s="4">
        <v>131281.07999999999</v>
      </c>
      <c r="D205" s="4"/>
      <c r="I205" s="40">
        <f t="shared" si="10"/>
        <v>131281.07999999999</v>
      </c>
      <c r="J205" s="40"/>
      <c r="K205" s="40">
        <v>175218.38</v>
      </c>
    </row>
    <row r="206" spans="1:11" s="42" customFormat="1" x14ac:dyDescent="0.25">
      <c r="A206" s="42">
        <v>8302</v>
      </c>
      <c r="B206" s="42" t="s">
        <v>211</v>
      </c>
      <c r="C206" s="4">
        <v>280969.59000000003</v>
      </c>
      <c r="D206" s="4"/>
      <c r="I206" s="40">
        <f t="shared" si="10"/>
        <v>280969.59000000003</v>
      </c>
      <c r="J206" s="40"/>
      <c r="K206" s="40">
        <v>13492.69</v>
      </c>
    </row>
    <row r="207" spans="1:11" s="42" customFormat="1" x14ac:dyDescent="0.25">
      <c r="A207" s="42">
        <v>8304</v>
      </c>
      <c r="B207" s="42" t="s">
        <v>212</v>
      </c>
      <c r="C207" s="4">
        <v>11153.31</v>
      </c>
      <c r="D207" s="4"/>
      <c r="I207" s="40">
        <f t="shared" si="10"/>
        <v>11153.31</v>
      </c>
      <c r="J207" s="40"/>
      <c r="K207" s="40">
        <v>124895.69</v>
      </c>
    </row>
    <row r="208" spans="1:11" s="42" customFormat="1" x14ac:dyDescent="0.25">
      <c r="A208" s="42">
        <v>8305</v>
      </c>
      <c r="B208" s="42" t="s">
        <v>213</v>
      </c>
      <c r="C208" s="4">
        <v>395896.9</v>
      </c>
      <c r="D208" s="4"/>
      <c r="I208" s="40">
        <f t="shared" si="10"/>
        <v>395896.9</v>
      </c>
      <c r="J208" s="40"/>
      <c r="K208" s="40">
        <v>442031.88</v>
      </c>
    </row>
    <row r="209" spans="1:11" s="42" customFormat="1" x14ac:dyDescent="0.25">
      <c r="A209" s="42">
        <v>8306</v>
      </c>
      <c r="B209" s="42" t="s">
        <v>214</v>
      </c>
      <c r="C209" s="4">
        <v>62017.13</v>
      </c>
      <c r="D209" s="4"/>
      <c r="I209" s="40">
        <f t="shared" si="10"/>
        <v>62017.13</v>
      </c>
      <c r="J209" s="40"/>
      <c r="K209" s="40">
        <v>0</v>
      </c>
    </row>
    <row r="210" spans="1:11" s="42" customFormat="1" x14ac:dyDescent="0.25">
      <c r="A210" s="42">
        <v>8307</v>
      </c>
      <c r="B210" s="42" t="s">
        <v>215</v>
      </c>
      <c r="C210" s="4">
        <v>25961.03</v>
      </c>
      <c r="D210" s="4"/>
      <c r="I210" s="40">
        <f t="shared" si="10"/>
        <v>25961.03</v>
      </c>
      <c r="J210" s="40"/>
      <c r="K210" s="40">
        <v>2131.33</v>
      </c>
    </row>
    <row r="211" spans="1:11" s="42" customFormat="1" x14ac:dyDescent="0.25">
      <c r="A211" s="42">
        <v>8310</v>
      </c>
      <c r="B211" s="42" t="s">
        <v>216</v>
      </c>
      <c r="C211" s="4">
        <v>280612.03000000003</v>
      </c>
      <c r="D211" s="4"/>
      <c r="I211" s="40">
        <f t="shared" si="10"/>
        <v>280612.03000000003</v>
      </c>
      <c r="J211" s="40"/>
      <c r="K211" s="40">
        <v>132385.1</v>
      </c>
    </row>
    <row r="212" spans="1:11" s="42" customFormat="1" x14ac:dyDescent="0.25">
      <c r="A212" s="42">
        <v>8315</v>
      </c>
      <c r="B212" s="42" t="s">
        <v>217</v>
      </c>
      <c r="C212" s="4">
        <v>522590.44</v>
      </c>
      <c r="D212" s="4"/>
      <c r="I212" s="40">
        <f t="shared" si="10"/>
        <v>522590.44</v>
      </c>
      <c r="J212" s="40"/>
      <c r="K212" s="40">
        <v>191614.24</v>
      </c>
    </row>
    <row r="213" spans="1:11" s="42" customFormat="1" x14ac:dyDescent="0.25">
      <c r="A213" s="42">
        <v>8401</v>
      </c>
      <c r="B213" s="42" t="s">
        <v>218</v>
      </c>
      <c r="C213" s="4">
        <v>121926.47</v>
      </c>
      <c r="D213" s="4"/>
      <c r="I213" s="40">
        <f t="shared" si="10"/>
        <v>121926.47</v>
      </c>
      <c r="J213" s="40"/>
      <c r="K213" s="40">
        <v>23889.69</v>
      </c>
    </row>
    <row r="214" spans="1:11" s="42" customFormat="1" x14ac:dyDescent="0.25">
      <c r="A214" s="42">
        <v>8405</v>
      </c>
      <c r="B214" s="42" t="s">
        <v>219</v>
      </c>
      <c r="C214" s="4">
        <v>250056.76</v>
      </c>
      <c r="D214" s="4"/>
      <c r="I214" s="40">
        <f t="shared" si="10"/>
        <v>250056.76</v>
      </c>
      <c r="J214" s="40"/>
      <c r="K214" s="40">
        <v>187777.78</v>
      </c>
    </row>
    <row r="215" spans="1:11" s="42" customFormat="1" x14ac:dyDescent="0.25">
      <c r="A215" s="42">
        <v>8406</v>
      </c>
      <c r="B215" s="42" t="s">
        <v>220</v>
      </c>
      <c r="C215" s="4">
        <v>31478.27</v>
      </c>
      <c r="D215" s="4"/>
      <c r="I215" s="40">
        <f t="shared" si="10"/>
        <v>31478.27</v>
      </c>
      <c r="J215" s="40"/>
      <c r="K215" s="40">
        <v>65405.55</v>
      </c>
    </row>
    <row r="216" spans="1:11" s="42" customFormat="1" x14ac:dyDescent="0.25">
      <c r="A216" s="42">
        <v>8410</v>
      </c>
      <c r="B216" s="42" t="s">
        <v>221</v>
      </c>
      <c r="C216" s="4">
        <v>52879.32</v>
      </c>
      <c r="D216" s="4"/>
      <c r="I216" s="40">
        <f t="shared" si="10"/>
        <v>52879.32</v>
      </c>
      <c r="J216" s="40"/>
      <c r="K216" s="40">
        <v>98122.3</v>
      </c>
    </row>
    <row r="217" spans="1:11" s="42" customFormat="1" x14ac:dyDescent="0.25">
      <c r="A217" s="42">
        <v>8411</v>
      </c>
      <c r="B217" s="42" t="s">
        <v>222</v>
      </c>
      <c r="C217" s="4">
        <v>239.8</v>
      </c>
      <c r="D217" s="4"/>
      <c r="I217" s="40">
        <f t="shared" si="10"/>
        <v>239.8</v>
      </c>
      <c r="J217" s="40"/>
      <c r="K217" s="40">
        <v>0</v>
      </c>
    </row>
    <row r="218" spans="1:11" s="42" customFormat="1" x14ac:dyDescent="0.25">
      <c r="A218" s="42">
        <v>8415</v>
      </c>
      <c r="B218" s="42" t="s">
        <v>223</v>
      </c>
      <c r="C218" s="4">
        <v>154922.72</v>
      </c>
      <c r="D218" s="4"/>
      <c r="I218" s="40">
        <f t="shared" si="10"/>
        <v>154922.72</v>
      </c>
      <c r="J218" s="40"/>
      <c r="K218" s="40">
        <v>131358.66</v>
      </c>
    </row>
    <row r="219" spans="1:11" s="42" customFormat="1" x14ac:dyDescent="0.25">
      <c r="A219" s="42">
        <v>8420</v>
      </c>
      <c r="B219" s="42" t="s">
        <v>224</v>
      </c>
      <c r="C219" s="4">
        <v>114859.99</v>
      </c>
      <c r="D219" s="4"/>
      <c r="I219" s="40">
        <f t="shared" si="10"/>
        <v>114859.99</v>
      </c>
      <c r="J219" s="40"/>
      <c r="K219" s="40">
        <v>95563.06</v>
      </c>
    </row>
    <row r="220" spans="1:11" s="42" customFormat="1" x14ac:dyDescent="0.25">
      <c r="A220" s="42">
        <v>8425</v>
      </c>
      <c r="B220" s="42" t="s">
        <v>225</v>
      </c>
      <c r="C220" s="4">
        <v>433626.13</v>
      </c>
      <c r="D220" s="4"/>
      <c r="I220" s="40">
        <f t="shared" si="10"/>
        <v>433626.13</v>
      </c>
      <c r="J220" s="40"/>
      <c r="K220" s="40">
        <v>241507.56</v>
      </c>
    </row>
    <row r="221" spans="1:11" s="42" customFormat="1" x14ac:dyDescent="0.25">
      <c r="A221" s="42">
        <v>8430</v>
      </c>
      <c r="B221" s="42" t="s">
        <v>226</v>
      </c>
      <c r="C221" s="4">
        <v>115502.3</v>
      </c>
      <c r="D221" s="4"/>
      <c r="I221" s="40">
        <f t="shared" si="10"/>
        <v>115502.3</v>
      </c>
      <c r="J221" s="40"/>
      <c r="K221" s="40">
        <v>79242.3</v>
      </c>
    </row>
    <row r="222" spans="1:11" s="42" customFormat="1" x14ac:dyDescent="0.25">
      <c r="A222" s="42">
        <v>8500</v>
      </c>
      <c r="B222" s="42" t="s">
        <v>227</v>
      </c>
      <c r="C222" s="4">
        <v>24763.37</v>
      </c>
      <c r="D222" s="4"/>
      <c r="I222" s="40">
        <f t="shared" si="10"/>
        <v>24763.37</v>
      </c>
      <c r="J222" s="40"/>
      <c r="K222" s="40">
        <v>65755.7</v>
      </c>
    </row>
    <row r="223" spans="1:11" s="42" customFormat="1" x14ac:dyDescent="0.25">
      <c r="A223" s="42">
        <v>8505</v>
      </c>
      <c r="B223" s="42" t="s">
        <v>228</v>
      </c>
      <c r="C223" s="4">
        <v>552946.73</v>
      </c>
      <c r="D223" s="4"/>
      <c r="I223" s="40">
        <f t="shared" si="10"/>
        <v>552946.73</v>
      </c>
      <c r="J223" s="40"/>
      <c r="K223" s="40">
        <v>796875.23</v>
      </c>
    </row>
    <row r="224" spans="1:11" s="42" customFormat="1" x14ac:dyDescent="0.25">
      <c r="A224" s="42">
        <v>8550</v>
      </c>
      <c r="B224" s="42" t="s">
        <v>229</v>
      </c>
      <c r="C224" s="4">
        <v>42229.43</v>
      </c>
      <c r="D224" s="4"/>
      <c r="I224" s="40">
        <f t="shared" si="10"/>
        <v>42229.43</v>
      </c>
      <c r="J224" s="40"/>
      <c r="K224" s="40">
        <v>35162.400000000001</v>
      </c>
    </row>
    <row r="225" spans="1:11" s="42" customFormat="1" x14ac:dyDescent="0.25">
      <c r="A225" s="42">
        <v>8551</v>
      </c>
      <c r="B225" s="42" t="s">
        <v>230</v>
      </c>
      <c r="C225" s="4">
        <v>68.23</v>
      </c>
      <c r="D225" s="4"/>
      <c r="I225" s="40">
        <f t="shared" si="10"/>
        <v>68.23</v>
      </c>
      <c r="J225" s="40"/>
      <c r="K225" s="40">
        <v>0</v>
      </c>
    </row>
    <row r="226" spans="1:11" s="42" customFormat="1" x14ac:dyDescent="0.25">
      <c r="A226" s="42">
        <v>8600</v>
      </c>
      <c r="B226" s="42" t="s">
        <v>231</v>
      </c>
      <c r="C226" s="4">
        <v>370702.73</v>
      </c>
      <c r="D226" s="4"/>
      <c r="I226" s="40">
        <f t="shared" si="10"/>
        <v>370702.73</v>
      </c>
      <c r="J226" s="40"/>
      <c r="K226" s="40">
        <v>141091.19</v>
      </c>
    </row>
    <row r="227" spans="1:11" s="42" customFormat="1" x14ac:dyDescent="0.25">
      <c r="A227" s="42">
        <v>8601</v>
      </c>
      <c r="B227" s="42" t="s">
        <v>232</v>
      </c>
      <c r="C227" s="4">
        <v>178361.18</v>
      </c>
      <c r="D227" s="4"/>
      <c r="I227" s="40">
        <f t="shared" si="10"/>
        <v>178361.18</v>
      </c>
      <c r="J227" s="40"/>
      <c r="K227" s="40">
        <v>43682.06</v>
      </c>
    </row>
    <row r="228" spans="1:11" s="42" customFormat="1" x14ac:dyDescent="0.25">
      <c r="A228" s="42">
        <v>8605</v>
      </c>
      <c r="B228" s="42" t="s">
        <v>233</v>
      </c>
      <c r="C228" s="4">
        <v>125164.35</v>
      </c>
      <c r="D228" s="4"/>
      <c r="I228" s="40">
        <f t="shared" si="10"/>
        <v>125164.35</v>
      </c>
      <c r="J228" s="40"/>
      <c r="K228" s="40">
        <v>29294.17</v>
      </c>
    </row>
    <row r="229" spans="1:11" s="42" customFormat="1" x14ac:dyDescent="0.25">
      <c r="A229" s="42">
        <v>8607</v>
      </c>
      <c r="B229" s="42" t="s">
        <v>234</v>
      </c>
      <c r="C229" s="4">
        <v>86842.05</v>
      </c>
      <c r="D229" s="4"/>
      <c r="I229" s="40">
        <f t="shared" si="10"/>
        <v>86842.05</v>
      </c>
      <c r="J229" s="40"/>
      <c r="K229" s="40">
        <v>45509.83</v>
      </c>
    </row>
    <row r="230" spans="1:11" s="42" customFormat="1" x14ac:dyDescent="0.25">
      <c r="A230" s="42">
        <v>8610</v>
      </c>
      <c r="B230" s="42" t="s">
        <v>235</v>
      </c>
      <c r="C230" s="4">
        <v>23011.599999999999</v>
      </c>
      <c r="D230" s="4"/>
      <c r="I230" s="40">
        <f t="shared" si="10"/>
        <v>23011.599999999999</v>
      </c>
      <c r="J230" s="40"/>
      <c r="K230" s="40">
        <v>6426.22</v>
      </c>
    </row>
    <row r="231" spans="1:11" s="42" customFormat="1" x14ac:dyDescent="0.25">
      <c r="A231" s="42">
        <v>8615</v>
      </c>
      <c r="B231" s="42" t="s">
        <v>236</v>
      </c>
      <c r="C231" s="4">
        <v>2638</v>
      </c>
      <c r="D231" s="4"/>
      <c r="I231" s="40">
        <f t="shared" si="10"/>
        <v>2638</v>
      </c>
      <c r="J231" s="40"/>
      <c r="K231" s="40">
        <v>1520.34</v>
      </c>
    </row>
    <row r="232" spans="1:11" s="42" customFormat="1" x14ac:dyDescent="0.25">
      <c r="A232" s="42">
        <v>8620</v>
      </c>
      <c r="B232" s="42" t="s">
        <v>237</v>
      </c>
      <c r="C232" s="4">
        <v>322.5</v>
      </c>
      <c r="D232" s="4"/>
      <c r="I232" s="40">
        <f t="shared" si="10"/>
        <v>322.5</v>
      </c>
      <c r="J232" s="40"/>
      <c r="K232" s="40">
        <v>0</v>
      </c>
    </row>
    <row r="233" spans="1:11" s="42" customFormat="1" x14ac:dyDescent="0.25">
      <c r="A233" s="42">
        <v>8710</v>
      </c>
      <c r="B233" s="42" t="s">
        <v>238</v>
      </c>
      <c r="C233" s="4">
        <v>57188.66</v>
      </c>
      <c r="D233" s="4"/>
      <c r="I233" s="40">
        <f t="shared" si="10"/>
        <v>57188.66</v>
      </c>
      <c r="J233" s="40"/>
      <c r="K233" s="40">
        <v>38357.120000000003</v>
      </c>
    </row>
    <row r="234" spans="1:11" s="42" customFormat="1" x14ac:dyDescent="0.25">
      <c r="A234" s="42">
        <v>8715</v>
      </c>
      <c r="B234" s="42" t="s">
        <v>239</v>
      </c>
      <c r="C234" s="4">
        <v>2500</v>
      </c>
      <c r="D234" s="4"/>
      <c r="I234" s="40">
        <f t="shared" si="10"/>
        <v>2500</v>
      </c>
      <c r="J234" s="40"/>
      <c r="K234" s="40">
        <v>1000</v>
      </c>
    </row>
    <row r="235" spans="1:11" s="42" customFormat="1" x14ac:dyDescent="0.25">
      <c r="A235" s="42">
        <v>8720</v>
      </c>
      <c r="B235" s="42" t="s">
        <v>240</v>
      </c>
      <c r="C235" s="4">
        <v>80128.94</v>
      </c>
      <c r="D235" s="4"/>
      <c r="I235" s="40">
        <f t="shared" si="10"/>
        <v>80128.94</v>
      </c>
      <c r="J235" s="40"/>
      <c r="K235" s="40">
        <v>80075.83</v>
      </c>
    </row>
    <row r="236" spans="1:11" s="42" customFormat="1" x14ac:dyDescent="0.25">
      <c r="A236" s="42">
        <v>8725</v>
      </c>
      <c r="B236" s="42" t="s">
        <v>241</v>
      </c>
      <c r="C236" s="4">
        <v>487172.13</v>
      </c>
      <c r="D236" s="4"/>
      <c r="I236" s="40">
        <f t="shared" si="10"/>
        <v>487172.13</v>
      </c>
      <c r="J236" s="40"/>
      <c r="K236" s="40">
        <v>471453.51</v>
      </c>
    </row>
    <row r="237" spans="1:11" s="42" customFormat="1" x14ac:dyDescent="0.25">
      <c r="A237" s="42">
        <v>8800</v>
      </c>
      <c r="B237" s="42" t="s">
        <v>242</v>
      </c>
      <c r="C237" s="4">
        <v>1574094.08</v>
      </c>
      <c r="D237" s="4"/>
      <c r="I237" s="40">
        <f t="shared" si="10"/>
        <v>1574094.08</v>
      </c>
      <c r="J237" s="40"/>
      <c r="K237" s="40">
        <v>855721.3</v>
      </c>
    </row>
    <row r="238" spans="1:11" s="42" customFormat="1" x14ac:dyDescent="0.25">
      <c r="A238" s="42">
        <v>8805</v>
      </c>
      <c r="B238" s="42" t="s">
        <v>243</v>
      </c>
      <c r="C238" s="4">
        <v>53053.46</v>
      </c>
      <c r="D238" s="4"/>
      <c r="I238" s="40">
        <f t="shared" si="10"/>
        <v>53053.46</v>
      </c>
      <c r="J238" s="40"/>
      <c r="K238" s="40">
        <v>39345.89</v>
      </c>
    </row>
    <row r="239" spans="1:11" s="42" customFormat="1" x14ac:dyDescent="0.25">
      <c r="A239" s="42">
        <v>8810</v>
      </c>
      <c r="B239" s="42" t="s">
        <v>244</v>
      </c>
      <c r="C239" s="4">
        <v>201.63</v>
      </c>
      <c r="D239" s="4"/>
      <c r="I239" s="40">
        <f t="shared" si="10"/>
        <v>201.63</v>
      </c>
      <c r="J239" s="40"/>
      <c r="K239" s="40">
        <v>693.6</v>
      </c>
    </row>
    <row r="240" spans="1:11" s="42" customFormat="1" x14ac:dyDescent="0.25">
      <c r="A240" s="42">
        <v>8899</v>
      </c>
      <c r="B240" s="42" t="s">
        <v>245</v>
      </c>
      <c r="C240" s="4">
        <v>1742894.25</v>
      </c>
      <c r="D240" s="4"/>
      <c r="I240" s="40">
        <f t="shared" si="10"/>
        <v>1742894.25</v>
      </c>
      <c r="J240" s="40"/>
      <c r="K240" s="40">
        <v>6865924.0099999998</v>
      </c>
    </row>
    <row r="241" spans="1:12" s="42" customFormat="1" x14ac:dyDescent="0.25">
      <c r="A241" s="43">
        <v>8900</v>
      </c>
      <c r="B241" s="43" t="s">
        <v>400</v>
      </c>
      <c r="C241" s="43">
        <v>-7295283.0700000003</v>
      </c>
      <c r="D241" s="4"/>
      <c r="I241" s="40">
        <f t="shared" ref="I241:I246" si="11">SUM(C241:H241)</f>
        <v>-7295283.0700000003</v>
      </c>
      <c r="J241" s="40"/>
      <c r="K241" s="40">
        <v>-5004643.04</v>
      </c>
    </row>
    <row r="242" spans="1:12" s="42" customFormat="1" x14ac:dyDescent="0.25">
      <c r="A242" s="43">
        <v>8905</v>
      </c>
      <c r="B242" s="43" t="s">
        <v>401</v>
      </c>
      <c r="C242" s="43">
        <v>7295283.0700000003</v>
      </c>
      <c r="D242" s="4"/>
      <c r="I242" s="40">
        <f t="shared" si="11"/>
        <v>7295283.0700000003</v>
      </c>
      <c r="J242" s="40"/>
      <c r="K242" s="40">
        <v>5004643.04</v>
      </c>
    </row>
    <row r="243" spans="1:12" s="42" customFormat="1" x14ac:dyDescent="0.25">
      <c r="A243" s="43">
        <v>8910</v>
      </c>
      <c r="B243" s="43" t="s">
        <v>402</v>
      </c>
      <c r="C243" s="43">
        <v>-7836991.5300000003</v>
      </c>
      <c r="D243" s="4"/>
      <c r="I243" s="40">
        <f t="shared" si="11"/>
        <v>-7836991.5300000003</v>
      </c>
      <c r="J243" s="40"/>
      <c r="K243" s="40">
        <v>-7053117.8799999999</v>
      </c>
    </row>
    <row r="244" spans="1:12" s="42" customFormat="1" x14ac:dyDescent="0.25">
      <c r="A244" s="43">
        <v>8915</v>
      </c>
      <c r="B244" s="43" t="s">
        <v>403</v>
      </c>
      <c r="C244" s="43">
        <v>7836991.5300000003</v>
      </c>
      <c r="D244" s="4"/>
      <c r="I244" s="40">
        <f t="shared" si="11"/>
        <v>7836991.5300000003</v>
      </c>
      <c r="J244" s="40"/>
      <c r="K244" s="40">
        <v>7053117.8799999999</v>
      </c>
    </row>
    <row r="245" spans="1:12" s="42" customFormat="1" x14ac:dyDescent="0.25">
      <c r="A245" s="43">
        <v>8920</v>
      </c>
      <c r="B245" s="43" t="s">
        <v>404</v>
      </c>
      <c r="C245" s="43">
        <v>-2411493.06</v>
      </c>
      <c r="D245" s="4"/>
      <c r="I245" s="40">
        <f t="shared" si="11"/>
        <v>-2411493.06</v>
      </c>
      <c r="J245" s="40"/>
      <c r="K245" s="40">
        <v>-1795699.27</v>
      </c>
    </row>
    <row r="246" spans="1:12" s="42" customFormat="1" x14ac:dyDescent="0.25">
      <c r="A246" s="43">
        <v>8925</v>
      </c>
      <c r="B246" s="43" t="s">
        <v>405</v>
      </c>
      <c r="C246" s="43">
        <v>2411493.06</v>
      </c>
      <c r="D246" s="4"/>
      <c r="I246" s="40">
        <f t="shared" si="11"/>
        <v>2411493.06</v>
      </c>
      <c r="J246" s="40"/>
      <c r="K246" s="40">
        <v>1795699.27</v>
      </c>
    </row>
    <row r="247" spans="1:12" s="42" customFormat="1" x14ac:dyDescent="0.25">
      <c r="A247" s="42">
        <v>9100</v>
      </c>
      <c r="B247" s="42" t="s">
        <v>246</v>
      </c>
      <c r="C247" s="4">
        <v>-366536.4</v>
      </c>
      <c r="D247" s="4"/>
      <c r="E247" s="42">
        <v>323763.40999999997</v>
      </c>
      <c r="I247" s="40">
        <f>SUM(C247:H247)</f>
        <v>-42772.990000000049</v>
      </c>
      <c r="J247" s="40"/>
      <c r="K247" s="40">
        <v>-87192.68</v>
      </c>
    </row>
    <row r="248" spans="1:12" s="42" customFormat="1" x14ac:dyDescent="0.25">
      <c r="A248" s="42">
        <v>9105</v>
      </c>
      <c r="B248" s="42" t="s">
        <v>247</v>
      </c>
      <c r="C248" s="4">
        <v>382528.04</v>
      </c>
      <c r="D248" s="4"/>
      <c r="I248" s="40">
        <f>SUM(C248:H248)</f>
        <v>382528.04</v>
      </c>
      <c r="J248" s="40"/>
      <c r="K248" s="40">
        <v>195860.13</v>
      </c>
    </row>
    <row r="249" spans="1:12" s="42" customFormat="1" x14ac:dyDescent="0.25">
      <c r="A249" s="43">
        <v>9110</v>
      </c>
      <c r="B249" s="43" t="s">
        <v>406</v>
      </c>
      <c r="C249" s="43">
        <v>0</v>
      </c>
      <c r="D249" s="4"/>
      <c r="I249" s="40"/>
      <c r="J249" s="40"/>
      <c r="K249" s="40">
        <v>49050</v>
      </c>
    </row>
    <row r="250" spans="1:12" s="42" customFormat="1" x14ac:dyDescent="0.25">
      <c r="A250" s="42">
        <v>9500</v>
      </c>
      <c r="B250" s="42" t="s">
        <v>248</v>
      </c>
      <c r="C250" s="4">
        <v>800</v>
      </c>
      <c r="D250" s="4"/>
      <c r="I250" s="40">
        <f>SUM(C250:H250)</f>
        <v>800</v>
      </c>
      <c r="J250" s="40"/>
      <c r="K250" s="40">
        <v>1570</v>
      </c>
    </row>
    <row r="251" spans="1:12" s="42" customFormat="1" x14ac:dyDescent="0.25">
      <c r="A251" s="42">
        <v>9987</v>
      </c>
      <c r="B251" s="42" t="s">
        <v>249</v>
      </c>
      <c r="C251" s="4">
        <v>25</v>
      </c>
      <c r="D251" s="4"/>
      <c r="I251" s="40">
        <f>SUM(C251:H251)</f>
        <v>25</v>
      </c>
      <c r="J251" s="40"/>
      <c r="K251" s="40">
        <v>0</v>
      </c>
    </row>
    <row r="252" spans="1:12" s="42" customFormat="1" x14ac:dyDescent="0.25">
      <c r="A252" s="42">
        <v>9991</v>
      </c>
      <c r="B252" s="42" t="s">
        <v>250</v>
      </c>
      <c r="C252" s="4">
        <v>99.97</v>
      </c>
      <c r="D252" s="4"/>
      <c r="I252" s="40">
        <f>SUM(C252:H252)</f>
        <v>99.97</v>
      </c>
      <c r="J252" s="40"/>
      <c r="K252" s="40">
        <v>0</v>
      </c>
    </row>
    <row r="253" spans="1:12" s="42" customFormat="1" x14ac:dyDescent="0.25">
      <c r="A253" s="42">
        <v>9996</v>
      </c>
      <c r="B253" s="42" t="s">
        <v>251</v>
      </c>
      <c r="C253" s="4">
        <v>0.05</v>
      </c>
      <c r="D253" s="4"/>
      <c r="I253" s="40">
        <f>SUM(C253:H253)</f>
        <v>0.05</v>
      </c>
      <c r="J253" s="40"/>
      <c r="K253" s="40">
        <v>0</v>
      </c>
    </row>
    <row r="254" spans="1:12" s="42" customFormat="1" x14ac:dyDescent="0.25">
      <c r="A254" s="42">
        <v>9999</v>
      </c>
      <c r="B254" s="42" t="s">
        <v>252</v>
      </c>
      <c r="C254" s="4">
        <v>-99120.66</v>
      </c>
      <c r="D254" s="4"/>
      <c r="I254" s="40">
        <f>SUM(C254:H254)</f>
        <v>-99120.66</v>
      </c>
      <c r="J254" s="40"/>
      <c r="K254" s="40">
        <v>-227.53</v>
      </c>
      <c r="L254" s="42" t="s">
        <v>306</v>
      </c>
    </row>
    <row r="255" spans="1:12" x14ac:dyDescent="0.25">
      <c r="I255" s="40"/>
      <c r="J255" s="40"/>
      <c r="K255" s="40"/>
    </row>
  </sheetData>
  <sortState ref="A10:K254">
    <sortCondition ref="A25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218"/>
  <sheetViews>
    <sheetView topLeftCell="A202" workbookViewId="0">
      <selection activeCell="C221" sqref="C221"/>
    </sheetView>
  </sheetViews>
  <sheetFormatPr defaultRowHeight="15" x14ac:dyDescent="0.25"/>
  <cols>
    <col min="2" max="2" width="24.140625" bestFit="1" customWidth="1"/>
    <col min="3" max="3" width="24.140625" style="4" customWidth="1"/>
    <col min="4" max="6" width="24.140625" customWidth="1"/>
    <col min="7" max="7" width="0.85546875" customWidth="1"/>
    <col min="8" max="8" width="16.28515625" customWidth="1"/>
  </cols>
  <sheetData>
    <row r="1" spans="1:8" ht="15.75" x14ac:dyDescent="0.25">
      <c r="A1" s="33" t="s">
        <v>407</v>
      </c>
    </row>
    <row r="2" spans="1:8" x14ac:dyDescent="0.25">
      <c r="A2" s="34" t="s">
        <v>356</v>
      </c>
    </row>
    <row r="3" spans="1:8" x14ac:dyDescent="0.25">
      <c r="A3" s="35" t="s">
        <v>408</v>
      </c>
    </row>
    <row r="4" spans="1:8" x14ac:dyDescent="0.25">
      <c r="A4" s="35" t="s">
        <v>357</v>
      </c>
    </row>
    <row r="5" spans="1:8" x14ac:dyDescent="0.25">
      <c r="A5" s="35" t="s">
        <v>358</v>
      </c>
    </row>
    <row r="6" spans="1:8" x14ac:dyDescent="0.25">
      <c r="D6" t="s">
        <v>303</v>
      </c>
      <c r="E6" t="s">
        <v>303</v>
      </c>
    </row>
    <row r="7" spans="1:8" x14ac:dyDescent="0.25">
      <c r="A7" s="36" t="s">
        <v>267</v>
      </c>
      <c r="B7" t="s">
        <v>268</v>
      </c>
      <c r="C7" s="4" t="s">
        <v>305</v>
      </c>
      <c r="D7" t="s">
        <v>304</v>
      </c>
      <c r="E7" t="s">
        <v>410</v>
      </c>
      <c r="F7" s="47" t="s">
        <v>411</v>
      </c>
      <c r="H7" t="s">
        <v>305</v>
      </c>
    </row>
    <row r="8" spans="1:8" x14ac:dyDescent="0.25">
      <c r="A8" s="37">
        <v>1011</v>
      </c>
      <c r="B8" s="37" t="s">
        <v>359</v>
      </c>
      <c r="C8" s="48">
        <v>4080.92</v>
      </c>
      <c r="D8" s="48">
        <f>IFERROR(VLOOKUP($A8,[1]Consolidated!$A:$G,7,FALSE),0)</f>
        <v>0</v>
      </c>
      <c r="E8" s="48">
        <f>IFERROR(VLOOKUP($A8,[1]Consolidated!$A:$F,6,FALSE),0)</f>
        <v>0</v>
      </c>
      <c r="F8" s="48">
        <f>IFERROR(VLOOKUP($A8,[1]Consolidated!$A:$I,9,FALSE),0)</f>
        <v>0</v>
      </c>
      <c r="G8" s="48"/>
      <c r="H8" s="48">
        <f t="shared" ref="H8:H39" si="0">SUM(C8:G8)</f>
        <v>4080.92</v>
      </c>
    </row>
    <row r="9" spans="1:8" x14ac:dyDescent="0.25">
      <c r="A9" s="37">
        <v>1025</v>
      </c>
      <c r="B9" s="37" t="s">
        <v>22</v>
      </c>
      <c r="C9" s="48">
        <v>5436016.8399999999</v>
      </c>
      <c r="D9" s="48">
        <f>IFERROR(VLOOKUP($A9,[1]Consolidated!$A:$G,7,FALSE),0)</f>
        <v>0</v>
      </c>
      <c r="E9" s="48">
        <f>IFERROR(VLOOKUP($A9,[1]Consolidated!$A:$F,6,FALSE),0)</f>
        <v>0</v>
      </c>
      <c r="F9" s="48">
        <f>IFERROR(VLOOKUP($A9,[1]Consolidated!$A:$I,9,FALSE),0)</f>
        <v>0</v>
      </c>
      <c r="G9" s="48"/>
      <c r="H9" s="48">
        <f t="shared" si="0"/>
        <v>5436016.8399999999</v>
      </c>
    </row>
    <row r="10" spans="1:8" x14ac:dyDescent="0.25">
      <c r="A10" s="37">
        <v>1040</v>
      </c>
      <c r="B10" s="37" t="s">
        <v>25</v>
      </c>
      <c r="C10" s="48">
        <v>4375219.6100000003</v>
      </c>
      <c r="D10" s="48">
        <f>IFERROR(VLOOKUP($A10,[1]Consolidated!$A:$G,7,FALSE),0)</f>
        <v>0</v>
      </c>
      <c r="E10" s="48">
        <f>IFERROR(VLOOKUP($A10,[1]Consolidated!$A:$F,6,FALSE),0)</f>
        <v>0</v>
      </c>
      <c r="F10" s="48">
        <f>IFERROR(VLOOKUP($A10,[1]Consolidated!$A:$I,9,FALSE),0)</f>
        <v>0</v>
      </c>
      <c r="G10" s="48"/>
      <c r="H10" s="48">
        <f t="shared" si="0"/>
        <v>4375219.6100000003</v>
      </c>
    </row>
    <row r="11" spans="1:8" x14ac:dyDescent="0.25">
      <c r="A11" s="37">
        <v>1045</v>
      </c>
      <c r="B11" s="37" t="s">
        <v>26</v>
      </c>
      <c r="C11" s="48">
        <v>502073.02</v>
      </c>
      <c r="D11" s="48">
        <f>IFERROR(VLOOKUP($A11,[1]Consolidated!$A:$G,7,FALSE),0)</f>
        <v>0</v>
      </c>
      <c r="E11" s="48">
        <f>IFERROR(VLOOKUP($A11,[1]Consolidated!$A:$F,6,FALSE),0)</f>
        <v>0</v>
      </c>
      <c r="F11" s="48">
        <f>IFERROR(VLOOKUP($A11,[1]Consolidated!$A:$I,9,FALSE),0)</f>
        <v>0</v>
      </c>
      <c r="G11" s="48"/>
      <c r="H11" s="48">
        <f t="shared" si="0"/>
        <v>502073.02</v>
      </c>
    </row>
    <row r="12" spans="1:8" x14ac:dyDescent="0.25">
      <c r="A12" s="37">
        <v>1050</v>
      </c>
      <c r="B12" s="37" t="s">
        <v>27</v>
      </c>
      <c r="C12" s="48">
        <v>2463.62</v>
      </c>
      <c r="D12" s="48">
        <f>IFERROR(VLOOKUP($A12,[1]Consolidated!$A:$G,7,FALSE),0)</f>
        <v>0</v>
      </c>
      <c r="E12" s="48">
        <f>IFERROR(VLOOKUP($A12,[1]Consolidated!$A:$F,6,FALSE),0)</f>
        <v>0</v>
      </c>
      <c r="F12" s="48">
        <f>IFERROR(VLOOKUP($A12,[1]Consolidated!$A:$I,9,FALSE),0)</f>
        <v>0</v>
      </c>
      <c r="G12" s="48"/>
      <c r="H12" s="48">
        <f t="shared" si="0"/>
        <v>2463.62</v>
      </c>
    </row>
    <row r="13" spans="1:8" x14ac:dyDescent="0.25">
      <c r="A13" s="37">
        <v>1070</v>
      </c>
      <c r="B13" s="37" t="s">
        <v>28</v>
      </c>
      <c r="C13" s="48">
        <v>2258935.06</v>
      </c>
      <c r="D13" s="48">
        <f>IFERROR(VLOOKUP($A13,[1]Consolidated!$A:$G,7,FALSE),0)</f>
        <v>0</v>
      </c>
      <c r="E13" s="48">
        <f>IFERROR(VLOOKUP($A13,[1]Consolidated!$A:$F,6,FALSE),0)</f>
        <v>0</v>
      </c>
      <c r="F13" s="48">
        <f>IFERROR(VLOOKUP($A13,[1]Consolidated!$A:$I,9,FALSE),0)</f>
        <v>0</v>
      </c>
      <c r="G13" s="48"/>
      <c r="H13" s="48">
        <f t="shared" si="0"/>
        <v>2258935.06</v>
      </c>
    </row>
    <row r="14" spans="1:8" x14ac:dyDescent="0.25">
      <c r="A14" s="37">
        <v>1071</v>
      </c>
      <c r="B14" s="37" t="s">
        <v>360</v>
      </c>
      <c r="C14" s="48">
        <v>37991820</v>
      </c>
      <c r="D14" s="48">
        <f>IFERROR(VLOOKUP($A14,[1]Consolidated!$A:$G,7,FALSE),0)</f>
        <v>0</v>
      </c>
      <c r="E14" s="48">
        <f>IFERROR(VLOOKUP($A14,[1]Consolidated!$A:$F,6,FALSE),0)</f>
        <v>0</v>
      </c>
      <c r="F14" s="48">
        <f>IFERROR(VLOOKUP($A14,[1]Consolidated!$A:$I,9,FALSE),0)</f>
        <v>0</v>
      </c>
      <c r="G14" s="48"/>
      <c r="H14" s="48">
        <f t="shared" si="0"/>
        <v>37991820</v>
      </c>
    </row>
    <row r="15" spans="1:8" x14ac:dyDescent="0.25">
      <c r="A15" s="37">
        <v>1110</v>
      </c>
      <c r="B15" s="37" t="s">
        <v>361</v>
      </c>
      <c r="C15" s="48">
        <v>25000000</v>
      </c>
      <c r="D15" s="48">
        <f>IFERROR(VLOOKUP($A15,[1]Consolidated!$A:$G,7,FALSE),0)</f>
        <v>-25000000</v>
      </c>
      <c r="E15" s="48">
        <f>IFERROR(VLOOKUP($A15,[1]Consolidated!$A:$F,6,FALSE),0)</f>
        <v>0</v>
      </c>
      <c r="F15" s="48">
        <f>IFERROR(VLOOKUP($A15,[1]Consolidated!$A:$I,9,FALSE),0)</f>
        <v>0</v>
      </c>
      <c r="G15" s="48"/>
      <c r="H15" s="48">
        <f t="shared" si="0"/>
        <v>0</v>
      </c>
    </row>
    <row r="16" spans="1:8" x14ac:dyDescent="0.25">
      <c r="A16" s="37">
        <v>1260</v>
      </c>
      <c r="B16" s="37" t="s">
        <v>412</v>
      </c>
      <c r="C16" s="48">
        <v>94273.47</v>
      </c>
      <c r="D16" s="48">
        <f>IFERROR(VLOOKUP($A16,[1]Consolidated!$A:$G,7,FALSE),0)</f>
        <v>0</v>
      </c>
      <c r="E16" s="48">
        <f>IFERROR(VLOOKUP($A16,[1]Consolidated!$A:$F,6,FALSE),0)</f>
        <v>0</v>
      </c>
      <c r="F16" s="48">
        <f>IFERROR(VLOOKUP($A16,[1]Consolidated!$A:$I,9,FALSE),0)</f>
        <v>-94273.47</v>
      </c>
      <c r="G16" s="48"/>
      <c r="H16" s="48">
        <f t="shared" si="0"/>
        <v>0</v>
      </c>
    </row>
    <row r="17" spans="1:8" x14ac:dyDescent="0.25">
      <c r="A17" s="37">
        <v>1220</v>
      </c>
      <c r="B17" s="37" t="s">
        <v>363</v>
      </c>
      <c r="C17" s="48">
        <v>4930377.58</v>
      </c>
      <c r="D17" s="48">
        <f>IFERROR(VLOOKUP($A17,[1]Consolidated!$A:$G,7,FALSE),0)</f>
        <v>0</v>
      </c>
      <c r="E17" s="48">
        <f>IFERROR(VLOOKUP($A17,[1]Consolidated!$A:$F,6,FALSE),0)</f>
        <v>0</v>
      </c>
      <c r="F17" s="48">
        <f>IFERROR(VLOOKUP($A17,[1]Consolidated!$A:$I,9,FALSE),0)</f>
        <v>0</v>
      </c>
      <c r="G17" s="48"/>
      <c r="H17" s="48">
        <f t="shared" si="0"/>
        <v>4930377.58</v>
      </c>
    </row>
    <row r="18" spans="1:8" x14ac:dyDescent="0.25">
      <c r="A18" s="37">
        <v>1291</v>
      </c>
      <c r="B18" s="37" t="s">
        <v>37</v>
      </c>
      <c r="C18" s="48">
        <v>-3197130.73</v>
      </c>
      <c r="D18" s="48">
        <f>IFERROR(VLOOKUP($A18,[1]Consolidated!$A:$G,7,FALSE),0)</f>
        <v>0</v>
      </c>
      <c r="E18" s="48">
        <f>IFERROR(VLOOKUP($A18,[1]Consolidated!$A:$F,6,FALSE),0)</f>
        <v>0</v>
      </c>
      <c r="F18" s="48">
        <f>IFERROR(VLOOKUP($A18,[1]Consolidated!$A:$I,9,FALSE),0)</f>
        <v>0</v>
      </c>
      <c r="G18" s="48"/>
      <c r="H18" s="48">
        <f t="shared" si="0"/>
        <v>-3197130.73</v>
      </c>
    </row>
    <row r="19" spans="1:8" x14ac:dyDescent="0.25">
      <c r="A19" s="37">
        <v>1310</v>
      </c>
      <c r="B19" s="37" t="s">
        <v>38</v>
      </c>
      <c r="C19" s="48">
        <v>218640.95</v>
      </c>
      <c r="D19" s="48">
        <f>IFERROR(VLOOKUP($A19,[1]Consolidated!$A:$G,7,FALSE),0)</f>
        <v>0</v>
      </c>
      <c r="E19" s="48">
        <f>IFERROR(VLOOKUP($A19,[1]Consolidated!$A:$F,6,FALSE),0)</f>
        <v>0</v>
      </c>
      <c r="F19" s="48">
        <f>IFERROR(VLOOKUP($A19,[1]Consolidated!$A:$I,9,FALSE),0)</f>
        <v>0</v>
      </c>
      <c r="G19" s="48"/>
      <c r="H19" s="48">
        <f t="shared" si="0"/>
        <v>218640.95</v>
      </c>
    </row>
    <row r="20" spans="1:8" x14ac:dyDescent="0.25">
      <c r="A20" s="37">
        <v>1311</v>
      </c>
      <c r="B20" s="37" t="s">
        <v>39</v>
      </c>
      <c r="C20" s="48">
        <v>235474.65</v>
      </c>
      <c r="D20" s="48">
        <f>IFERROR(VLOOKUP($A20,[1]Consolidated!$A:$G,7,FALSE),0)</f>
        <v>0</v>
      </c>
      <c r="E20" s="48">
        <f>IFERROR(VLOOKUP($A20,[1]Consolidated!$A:$F,6,FALSE),0)</f>
        <v>0</v>
      </c>
      <c r="F20" s="48">
        <f>IFERROR(VLOOKUP($A20,[1]Consolidated!$A:$I,9,FALSE),0)</f>
        <v>0</v>
      </c>
      <c r="G20" s="48"/>
      <c r="H20" s="48">
        <f t="shared" si="0"/>
        <v>235474.65</v>
      </c>
    </row>
    <row r="21" spans="1:8" x14ac:dyDescent="0.25">
      <c r="A21" s="37">
        <v>1312</v>
      </c>
      <c r="B21" s="37" t="s">
        <v>40</v>
      </c>
      <c r="C21" s="48">
        <v>300006.42</v>
      </c>
      <c r="D21" s="48">
        <f>IFERROR(VLOOKUP($A21,[1]Consolidated!$A:$G,7,FALSE),0)</f>
        <v>0</v>
      </c>
      <c r="E21" s="48">
        <f>IFERROR(VLOOKUP($A21,[1]Consolidated!$A:$F,6,FALSE),0)</f>
        <v>0</v>
      </c>
      <c r="F21" s="48">
        <f>IFERROR(VLOOKUP($A21,[1]Consolidated!$A:$I,9,FALSE),0)</f>
        <v>0</v>
      </c>
      <c r="G21" s="48"/>
      <c r="H21" s="48">
        <f t="shared" si="0"/>
        <v>300006.42</v>
      </c>
    </row>
    <row r="22" spans="1:8" x14ac:dyDescent="0.25">
      <c r="A22" s="37">
        <v>1313</v>
      </c>
      <c r="B22" s="37" t="s">
        <v>41</v>
      </c>
      <c r="C22" s="48">
        <v>37481.040000000001</v>
      </c>
      <c r="D22" s="48">
        <f>IFERROR(VLOOKUP($A22,[1]Consolidated!$A:$G,7,FALSE),0)</f>
        <v>0</v>
      </c>
      <c r="E22" s="48">
        <f>IFERROR(VLOOKUP($A22,[1]Consolidated!$A:$F,6,FALSE),0)</f>
        <v>0</v>
      </c>
      <c r="F22" s="48">
        <f>IFERROR(VLOOKUP($A22,[1]Consolidated!$A:$I,9,FALSE),0)</f>
        <v>0</v>
      </c>
      <c r="G22" s="48"/>
      <c r="H22" s="48">
        <f t="shared" si="0"/>
        <v>37481.040000000001</v>
      </c>
    </row>
    <row r="23" spans="1:8" x14ac:dyDescent="0.25">
      <c r="A23" s="37">
        <v>1314</v>
      </c>
      <c r="B23" s="37" t="s">
        <v>42</v>
      </c>
      <c r="C23" s="48">
        <v>542466.05000000005</v>
      </c>
      <c r="D23" s="48">
        <f>IFERROR(VLOOKUP($A23,[1]Consolidated!$A:$G,7,FALSE),0)</f>
        <v>0</v>
      </c>
      <c r="E23" s="48">
        <f>IFERROR(VLOOKUP($A23,[1]Consolidated!$A:$F,6,FALSE),0)</f>
        <v>0</v>
      </c>
      <c r="F23" s="48">
        <f>IFERROR(VLOOKUP($A23,[1]Consolidated!$A:$I,9,FALSE),0)</f>
        <v>0</v>
      </c>
      <c r="G23" s="48"/>
      <c r="H23" s="48">
        <f t="shared" si="0"/>
        <v>542466.05000000005</v>
      </c>
    </row>
    <row r="24" spans="1:8" x14ac:dyDescent="0.25">
      <c r="A24" s="37">
        <v>1410</v>
      </c>
      <c r="B24" s="37" t="s">
        <v>43</v>
      </c>
      <c r="C24" s="48">
        <v>12314.79</v>
      </c>
      <c r="D24" s="48">
        <f>IFERROR(VLOOKUP($A24,[1]Consolidated!$A:$G,7,FALSE),0)</f>
        <v>0</v>
      </c>
      <c r="E24" s="48">
        <f>IFERROR(VLOOKUP($A24,[1]Consolidated!$A:$F,6,FALSE),0)</f>
        <v>0</v>
      </c>
      <c r="F24" s="48">
        <f>IFERROR(VLOOKUP($A24,[1]Consolidated!$A:$I,9,FALSE),0)</f>
        <v>0</v>
      </c>
      <c r="G24" s="48"/>
      <c r="H24" s="48">
        <f t="shared" si="0"/>
        <v>12314.79</v>
      </c>
    </row>
    <row r="25" spans="1:8" x14ac:dyDescent="0.25">
      <c r="A25" s="37">
        <v>1415</v>
      </c>
      <c r="B25" s="37" t="s">
        <v>44</v>
      </c>
      <c r="C25" s="48">
        <v>391128.64</v>
      </c>
      <c r="D25" s="48">
        <f>IFERROR(VLOOKUP($A25,[1]Consolidated!$A:$G,7,FALSE),0)</f>
        <v>0</v>
      </c>
      <c r="E25" s="48">
        <f>IFERROR(VLOOKUP($A25,[1]Consolidated!$A:$F,6,FALSE),0)</f>
        <v>0</v>
      </c>
      <c r="F25" s="48">
        <f>IFERROR(VLOOKUP($A25,[1]Consolidated!$A:$I,9,FALSE),0)</f>
        <v>0</v>
      </c>
      <c r="G25" s="48"/>
      <c r="H25" s="48">
        <f t="shared" si="0"/>
        <v>391128.64</v>
      </c>
    </row>
    <row r="26" spans="1:8" x14ac:dyDescent="0.25">
      <c r="A26" s="37">
        <v>1416</v>
      </c>
      <c r="B26" s="37" t="s">
        <v>45</v>
      </c>
      <c r="C26" s="48">
        <v>1311.75</v>
      </c>
      <c r="D26" s="48">
        <f>IFERROR(VLOOKUP($A26,[1]Consolidated!$A:$G,7,FALSE),0)</f>
        <v>0</v>
      </c>
      <c r="E26" s="48">
        <f>IFERROR(VLOOKUP($A26,[1]Consolidated!$A:$F,6,FALSE),0)</f>
        <v>0</v>
      </c>
      <c r="F26" s="48">
        <f>IFERROR(VLOOKUP($A26,[1]Consolidated!$A:$I,9,FALSE),0)</f>
        <v>0</v>
      </c>
      <c r="G26" s="48"/>
      <c r="H26" s="48">
        <f t="shared" si="0"/>
        <v>1311.75</v>
      </c>
    </row>
    <row r="27" spans="1:8" x14ac:dyDescent="0.25">
      <c r="A27" s="37">
        <v>1420</v>
      </c>
      <c r="B27" s="37" t="s">
        <v>364</v>
      </c>
      <c r="C27" s="48">
        <v>21409.48</v>
      </c>
      <c r="D27" s="48">
        <f>IFERROR(VLOOKUP($A27,[1]Consolidated!$A:$G,7,FALSE),0)</f>
        <v>0</v>
      </c>
      <c r="E27" s="48">
        <f>IFERROR(VLOOKUP($A27,[1]Consolidated!$A:$F,6,FALSE),0)</f>
        <v>0</v>
      </c>
      <c r="F27" s="48">
        <f>IFERROR(VLOOKUP($A27,[1]Consolidated!$A:$I,9,FALSE),0)</f>
        <v>0</v>
      </c>
      <c r="G27" s="48"/>
      <c r="H27" s="48">
        <f t="shared" si="0"/>
        <v>21409.48</v>
      </c>
    </row>
    <row r="28" spans="1:8" x14ac:dyDescent="0.25">
      <c r="A28" s="37">
        <v>1422</v>
      </c>
      <c r="B28" s="37" t="s">
        <v>46</v>
      </c>
      <c r="C28" s="48">
        <v>0.28999999999999998</v>
      </c>
      <c r="D28" s="48">
        <f>IFERROR(VLOOKUP($A28,[1]Consolidated!$A:$G,7,FALSE),0)</f>
        <v>0</v>
      </c>
      <c r="E28" s="48">
        <f>IFERROR(VLOOKUP($A28,[1]Consolidated!$A:$F,6,FALSE),0)</f>
        <v>0</v>
      </c>
      <c r="F28" s="48">
        <f>IFERROR(VLOOKUP($A28,[1]Consolidated!$A:$I,9,FALSE),0)</f>
        <v>0</v>
      </c>
      <c r="G28" s="48"/>
      <c r="H28" s="48">
        <f t="shared" si="0"/>
        <v>0.28999999999999998</v>
      </c>
    </row>
    <row r="29" spans="1:8" x14ac:dyDescent="0.25">
      <c r="A29" s="37">
        <v>1520</v>
      </c>
      <c r="B29" s="37" t="s">
        <v>47</v>
      </c>
      <c r="C29" s="48">
        <v>58472.25</v>
      </c>
      <c r="D29" s="48">
        <f>IFERROR(VLOOKUP($A29,[1]Consolidated!$A:$G,7,FALSE),0)</f>
        <v>0</v>
      </c>
      <c r="E29" s="48">
        <f>IFERROR(VLOOKUP($A29,[1]Consolidated!$A:$F,6,FALSE),0)</f>
        <v>0</v>
      </c>
      <c r="F29" s="48">
        <f>IFERROR(VLOOKUP($A29,[1]Consolidated!$A:$I,9,FALSE),0)</f>
        <v>0</v>
      </c>
      <c r="G29" s="48"/>
      <c r="H29" s="48">
        <f t="shared" si="0"/>
        <v>58472.25</v>
      </c>
    </row>
    <row r="30" spans="1:8" x14ac:dyDescent="0.25">
      <c r="A30" s="37">
        <v>1526</v>
      </c>
      <c r="B30" s="37" t="s">
        <v>48</v>
      </c>
      <c r="C30" s="48">
        <v>55373.71</v>
      </c>
      <c r="D30" s="48">
        <f>IFERROR(VLOOKUP($A30,[1]Consolidated!$A:$G,7,FALSE),0)</f>
        <v>0</v>
      </c>
      <c r="E30" s="48">
        <f>IFERROR(VLOOKUP($A30,[1]Consolidated!$A:$F,6,FALSE),0)</f>
        <v>0</v>
      </c>
      <c r="F30" s="48">
        <f>IFERROR(VLOOKUP($A30,[1]Consolidated!$A:$I,9,FALSE),0)</f>
        <v>0</v>
      </c>
      <c r="G30" s="48"/>
      <c r="H30" s="48">
        <f t="shared" si="0"/>
        <v>55373.71</v>
      </c>
    </row>
    <row r="31" spans="1:8" x14ac:dyDescent="0.25">
      <c r="A31" s="37">
        <v>1535</v>
      </c>
      <c r="B31" s="37" t="s">
        <v>49</v>
      </c>
      <c r="C31" s="48">
        <v>5111.51</v>
      </c>
      <c r="D31" s="48">
        <f>IFERROR(VLOOKUP($A31,[1]Consolidated!$A:$G,7,FALSE),0)</f>
        <v>0</v>
      </c>
      <c r="E31" s="48">
        <f>IFERROR(VLOOKUP($A31,[1]Consolidated!$A:$F,6,FALSE),0)</f>
        <v>0</v>
      </c>
      <c r="F31" s="48">
        <f>IFERROR(VLOOKUP($A31,[1]Consolidated!$A:$I,9,FALSE),0)</f>
        <v>0</v>
      </c>
      <c r="G31" s="48"/>
      <c r="H31" s="48">
        <f t="shared" si="0"/>
        <v>5111.51</v>
      </c>
    </row>
    <row r="32" spans="1:8" x14ac:dyDescent="0.25">
      <c r="A32" s="37">
        <v>1610</v>
      </c>
      <c r="B32" s="37" t="s">
        <v>50</v>
      </c>
      <c r="C32" s="48">
        <v>6079507.4000000004</v>
      </c>
      <c r="D32" s="48">
        <f>IFERROR(VLOOKUP($A32,[1]Consolidated!$A:$G,7,FALSE),0)</f>
        <v>0</v>
      </c>
      <c r="E32" s="48">
        <f>IFERROR(VLOOKUP($A32,[1]Consolidated!$A:$F,6,FALSE),0)</f>
        <v>0</v>
      </c>
      <c r="F32" s="48">
        <f>IFERROR(VLOOKUP($A32,[1]Consolidated!$A:$I,9,FALSE),0)</f>
        <v>0</v>
      </c>
      <c r="G32" s="48"/>
      <c r="H32" s="48">
        <f t="shared" si="0"/>
        <v>6079507.4000000004</v>
      </c>
    </row>
    <row r="33" spans="1:8" x14ac:dyDescent="0.25">
      <c r="A33" s="37">
        <v>1611</v>
      </c>
      <c r="B33" s="37" t="s">
        <v>51</v>
      </c>
      <c r="C33" s="48">
        <v>9474684.1799999997</v>
      </c>
      <c r="D33" s="48">
        <f>IFERROR(VLOOKUP($A33,[1]Consolidated!$A:$G,7,FALSE),0)</f>
        <v>0</v>
      </c>
      <c r="E33" s="48">
        <f>IFERROR(VLOOKUP($A33,[1]Consolidated!$A:$F,6,FALSE),0)</f>
        <v>0</v>
      </c>
      <c r="F33" s="48">
        <f>IFERROR(VLOOKUP($A33,[1]Consolidated!$A:$I,9,FALSE),0)</f>
        <v>0</v>
      </c>
      <c r="G33" s="48"/>
      <c r="H33" s="48">
        <f t="shared" si="0"/>
        <v>9474684.1799999997</v>
      </c>
    </row>
    <row r="34" spans="1:8" x14ac:dyDescent="0.25">
      <c r="A34" s="37">
        <v>1612</v>
      </c>
      <c r="B34" s="37" t="s">
        <v>52</v>
      </c>
      <c r="C34" s="48">
        <v>917832.28</v>
      </c>
      <c r="D34" s="48">
        <f>IFERROR(VLOOKUP($A34,[1]Consolidated!$A:$G,7,FALSE),0)</f>
        <v>0</v>
      </c>
      <c r="E34" s="48">
        <f>IFERROR(VLOOKUP($A34,[1]Consolidated!$A:$F,6,FALSE),0)</f>
        <v>0</v>
      </c>
      <c r="F34" s="48">
        <f>IFERROR(VLOOKUP($A34,[1]Consolidated!$A:$I,9,FALSE),0)</f>
        <v>0</v>
      </c>
      <c r="G34" s="48"/>
      <c r="H34" s="48">
        <f t="shared" si="0"/>
        <v>917832.28</v>
      </c>
    </row>
    <row r="35" spans="1:8" x14ac:dyDescent="0.25">
      <c r="A35" s="37">
        <v>1615</v>
      </c>
      <c r="B35" s="37" t="s">
        <v>53</v>
      </c>
      <c r="C35" s="48">
        <v>138724.96</v>
      </c>
      <c r="D35" s="48">
        <f>IFERROR(VLOOKUP($A35,[1]Consolidated!$A:$G,7,FALSE),0)</f>
        <v>0</v>
      </c>
      <c r="E35" s="48">
        <f>IFERROR(VLOOKUP($A35,[1]Consolidated!$A:$F,6,FALSE),0)</f>
        <v>0</v>
      </c>
      <c r="F35" s="48">
        <f>IFERROR(VLOOKUP($A35,[1]Consolidated!$A:$I,9,FALSE),0)</f>
        <v>0</v>
      </c>
      <c r="G35" s="48"/>
      <c r="H35" s="48">
        <f t="shared" si="0"/>
        <v>138724.96</v>
      </c>
    </row>
    <row r="36" spans="1:8" x14ac:dyDescent="0.25">
      <c r="A36" s="37">
        <v>1620</v>
      </c>
      <c r="B36" s="37" t="s">
        <v>54</v>
      </c>
      <c r="C36" s="48">
        <v>425728.01</v>
      </c>
      <c r="D36" s="48">
        <f>IFERROR(VLOOKUP($A36,[1]Consolidated!$A:$G,7,FALSE),0)</f>
        <v>0</v>
      </c>
      <c r="E36" s="48">
        <f>IFERROR(VLOOKUP($A36,[1]Consolidated!$A:$F,6,FALSE),0)</f>
        <v>0</v>
      </c>
      <c r="F36" s="48">
        <f>IFERROR(VLOOKUP($A36,[1]Consolidated!$A:$I,9,FALSE),0)</f>
        <v>0</v>
      </c>
      <c r="G36" s="48"/>
      <c r="H36" s="48">
        <f t="shared" si="0"/>
        <v>425728.01</v>
      </c>
    </row>
    <row r="37" spans="1:8" x14ac:dyDescent="0.25">
      <c r="A37" s="37">
        <v>1625</v>
      </c>
      <c r="B37" s="37" t="s">
        <v>55</v>
      </c>
      <c r="C37" s="48">
        <v>1188429.23</v>
      </c>
      <c r="D37" s="48">
        <f>IFERROR(VLOOKUP($A37,[1]Consolidated!$A:$G,7,FALSE),0)</f>
        <v>0</v>
      </c>
      <c r="E37" s="48">
        <f>IFERROR(VLOOKUP($A37,[1]Consolidated!$A:$F,6,FALSE),0)</f>
        <v>0</v>
      </c>
      <c r="F37" s="48">
        <f>IFERROR(VLOOKUP($A37,[1]Consolidated!$A:$I,9,FALSE),0)</f>
        <v>0</v>
      </c>
      <c r="G37" s="48"/>
      <c r="H37" s="48">
        <f t="shared" si="0"/>
        <v>1188429.23</v>
      </c>
    </row>
    <row r="38" spans="1:8" x14ac:dyDescent="0.25">
      <c r="A38" s="37">
        <v>1630</v>
      </c>
      <c r="B38" s="37" t="s">
        <v>56</v>
      </c>
      <c r="C38" s="48">
        <v>1039538.16</v>
      </c>
      <c r="D38" s="48">
        <f>IFERROR(VLOOKUP($A38,[1]Consolidated!$A:$G,7,FALSE),0)</f>
        <v>0</v>
      </c>
      <c r="E38" s="48">
        <f>IFERROR(VLOOKUP($A38,[1]Consolidated!$A:$F,6,FALSE),0)</f>
        <v>0</v>
      </c>
      <c r="F38" s="48">
        <f>IFERROR(VLOOKUP($A38,[1]Consolidated!$A:$I,9,FALSE),0)</f>
        <v>0</v>
      </c>
      <c r="G38" s="48"/>
      <c r="H38" s="48">
        <f t="shared" si="0"/>
        <v>1039538.16</v>
      </c>
    </row>
    <row r="39" spans="1:8" x14ac:dyDescent="0.25">
      <c r="A39" s="37">
        <v>1635</v>
      </c>
      <c r="B39" s="37" t="s">
        <v>57</v>
      </c>
      <c r="C39" s="48">
        <v>6164891.7599999998</v>
      </c>
      <c r="D39" s="48">
        <f>IFERROR(VLOOKUP($A39,[1]Consolidated!$A:$G,7,FALSE),0)</f>
        <v>0</v>
      </c>
      <c r="E39" s="48">
        <f>IFERROR(VLOOKUP($A39,[1]Consolidated!$A:$F,6,FALSE),0)</f>
        <v>0</v>
      </c>
      <c r="F39" s="48">
        <f>IFERROR(VLOOKUP($A39,[1]Consolidated!$A:$I,9,FALSE),0)</f>
        <v>0</v>
      </c>
      <c r="G39" s="48"/>
      <c r="H39" s="48">
        <f t="shared" si="0"/>
        <v>6164891.7599999998</v>
      </c>
    </row>
    <row r="40" spans="1:8" x14ac:dyDescent="0.25">
      <c r="A40" s="37">
        <v>1640</v>
      </c>
      <c r="B40" s="37" t="s">
        <v>58</v>
      </c>
      <c r="C40" s="48">
        <v>22000</v>
      </c>
      <c r="D40" s="48">
        <f>IFERROR(VLOOKUP($A40,[1]Consolidated!$A:$G,7,FALSE),0)</f>
        <v>0</v>
      </c>
      <c r="E40" s="48">
        <f>IFERROR(VLOOKUP($A40,[1]Consolidated!$A:$F,6,FALSE),0)</f>
        <v>0</v>
      </c>
      <c r="F40" s="48">
        <f>IFERROR(VLOOKUP($A40,[1]Consolidated!$A:$I,9,FALSE),0)</f>
        <v>0</v>
      </c>
      <c r="G40" s="48"/>
      <c r="H40" s="48">
        <f t="shared" ref="H40:H71" si="1">SUM(C40:G40)</f>
        <v>22000</v>
      </c>
    </row>
    <row r="41" spans="1:8" x14ac:dyDescent="0.25">
      <c r="A41" s="37">
        <v>1680</v>
      </c>
      <c r="B41" s="37" t="s">
        <v>59</v>
      </c>
      <c r="C41" s="48">
        <v>650165.16</v>
      </c>
      <c r="D41" s="48">
        <f>IFERROR(VLOOKUP($A41,[1]Consolidated!$A:$G,7,FALSE),0)</f>
        <v>0</v>
      </c>
      <c r="E41" s="48">
        <f>IFERROR(VLOOKUP($A41,[1]Consolidated!$A:$F,6,FALSE),0)</f>
        <v>0</v>
      </c>
      <c r="F41" s="48">
        <f>IFERROR(VLOOKUP($A41,[1]Consolidated!$A:$I,9,FALSE),0)</f>
        <v>0</v>
      </c>
      <c r="G41" s="48"/>
      <c r="H41" s="48">
        <f t="shared" si="1"/>
        <v>650165.16</v>
      </c>
    </row>
    <row r="42" spans="1:8" x14ac:dyDescent="0.25">
      <c r="A42" s="37">
        <v>1690</v>
      </c>
      <c r="B42" s="37" t="s">
        <v>60</v>
      </c>
      <c r="C42" s="48">
        <v>44331.85</v>
      </c>
      <c r="D42" s="48">
        <f>IFERROR(VLOOKUP($A42,[1]Consolidated!$A:$G,7,FALSE),0)</f>
        <v>0</v>
      </c>
      <c r="E42" s="48">
        <f>IFERROR(VLOOKUP($A42,[1]Consolidated!$A:$F,6,FALSE),0)</f>
        <v>0</v>
      </c>
      <c r="F42" s="48">
        <f>IFERROR(VLOOKUP($A42,[1]Consolidated!$A:$I,9,FALSE),0)</f>
        <v>0</v>
      </c>
      <c r="G42" s="48"/>
      <c r="H42" s="48">
        <f t="shared" si="1"/>
        <v>44331.85</v>
      </c>
    </row>
    <row r="43" spans="1:8" x14ac:dyDescent="0.25">
      <c r="A43" s="37">
        <v>1694</v>
      </c>
      <c r="B43" s="37" t="s">
        <v>365</v>
      </c>
      <c r="C43" s="48">
        <v>55651.74</v>
      </c>
      <c r="D43" s="48">
        <f>IFERROR(VLOOKUP($A43,[1]Consolidated!$A:$G,7,FALSE),0)</f>
        <v>0</v>
      </c>
      <c r="E43" s="48">
        <f>IFERROR(VLOOKUP($A43,[1]Consolidated!$A:$F,6,FALSE),0)</f>
        <v>0</v>
      </c>
      <c r="F43" s="48">
        <f>IFERROR(VLOOKUP($A43,[1]Consolidated!$A:$I,9,FALSE),0)</f>
        <v>0</v>
      </c>
      <c r="G43" s="48"/>
      <c r="H43" s="48">
        <f t="shared" si="1"/>
        <v>55651.74</v>
      </c>
    </row>
    <row r="44" spans="1:8" x14ac:dyDescent="0.25">
      <c r="A44" s="37">
        <v>1696</v>
      </c>
      <c r="B44" s="37" t="s">
        <v>62</v>
      </c>
      <c r="C44" s="48">
        <v>0.01</v>
      </c>
      <c r="D44" s="48">
        <f>IFERROR(VLOOKUP($A44,[1]Consolidated!$A:$G,7,FALSE),0)</f>
        <v>0</v>
      </c>
      <c r="E44" s="48">
        <f>IFERROR(VLOOKUP($A44,[1]Consolidated!$A:$F,6,FALSE),0)</f>
        <v>0</v>
      </c>
      <c r="F44" s="48">
        <f>IFERROR(VLOOKUP($A44,[1]Consolidated!$A:$I,9,FALSE),0)</f>
        <v>0</v>
      </c>
      <c r="G44" s="48"/>
      <c r="H44" s="48">
        <f t="shared" si="1"/>
        <v>0.01</v>
      </c>
    </row>
    <row r="45" spans="1:8" x14ac:dyDescent="0.25">
      <c r="A45" s="37">
        <v>1710</v>
      </c>
      <c r="B45" s="37" t="s">
        <v>63</v>
      </c>
      <c r="C45" s="48">
        <v>-2517844.63</v>
      </c>
      <c r="D45" s="48">
        <f>IFERROR(VLOOKUP($A45,[1]Consolidated!$A:$G,7,FALSE),0)</f>
        <v>0</v>
      </c>
      <c r="E45" s="48">
        <f>IFERROR(VLOOKUP($A45,[1]Consolidated!$A:$F,6,FALSE),0)</f>
        <v>0</v>
      </c>
      <c r="F45" s="48">
        <f>IFERROR(VLOOKUP($A45,[1]Consolidated!$A:$I,9,FALSE),0)</f>
        <v>0</v>
      </c>
      <c r="G45" s="48"/>
      <c r="H45" s="48">
        <f t="shared" si="1"/>
        <v>-2517844.63</v>
      </c>
    </row>
    <row r="46" spans="1:8" x14ac:dyDescent="0.25">
      <c r="A46" s="37">
        <v>1711</v>
      </c>
      <c r="B46" s="37" t="s">
        <v>64</v>
      </c>
      <c r="C46" s="48">
        <v>-521942.01</v>
      </c>
      <c r="D46" s="48">
        <f>IFERROR(VLOOKUP($A46,[1]Consolidated!$A:$G,7,FALSE),0)</f>
        <v>0</v>
      </c>
      <c r="E46" s="48">
        <f>IFERROR(VLOOKUP($A46,[1]Consolidated!$A:$F,6,FALSE),0)</f>
        <v>0</v>
      </c>
      <c r="F46" s="48">
        <f>IFERROR(VLOOKUP($A46,[1]Consolidated!$A:$I,9,FALSE),0)</f>
        <v>0</v>
      </c>
      <c r="G46" s="48"/>
      <c r="H46" s="48">
        <f t="shared" si="1"/>
        <v>-521942.01</v>
      </c>
    </row>
    <row r="47" spans="1:8" x14ac:dyDescent="0.25">
      <c r="A47" s="37">
        <v>1712</v>
      </c>
      <c r="B47" s="37" t="s">
        <v>65</v>
      </c>
      <c r="C47" s="48">
        <v>-112659.81</v>
      </c>
      <c r="D47" s="48">
        <f>IFERROR(VLOOKUP($A47,[1]Consolidated!$A:$G,7,FALSE),0)</f>
        <v>0</v>
      </c>
      <c r="E47" s="48">
        <f>IFERROR(VLOOKUP($A47,[1]Consolidated!$A:$F,6,FALSE),0)</f>
        <v>0</v>
      </c>
      <c r="F47" s="48">
        <f>IFERROR(VLOOKUP($A47,[1]Consolidated!$A:$I,9,FALSE),0)</f>
        <v>0</v>
      </c>
      <c r="G47" s="48"/>
      <c r="H47" s="48">
        <f t="shared" si="1"/>
        <v>-112659.81</v>
      </c>
    </row>
    <row r="48" spans="1:8" x14ac:dyDescent="0.25">
      <c r="A48" s="37">
        <v>1715</v>
      </c>
      <c r="B48" s="37" t="s">
        <v>66</v>
      </c>
      <c r="C48" s="48">
        <v>-76362.570000000007</v>
      </c>
      <c r="D48" s="48">
        <f>IFERROR(VLOOKUP($A48,[1]Consolidated!$A:$G,7,FALSE),0)</f>
        <v>0</v>
      </c>
      <c r="E48" s="48">
        <f>IFERROR(VLOOKUP($A48,[1]Consolidated!$A:$F,6,FALSE),0)</f>
        <v>0</v>
      </c>
      <c r="F48" s="48">
        <f>IFERROR(VLOOKUP($A48,[1]Consolidated!$A:$I,9,FALSE),0)</f>
        <v>0</v>
      </c>
      <c r="G48" s="48"/>
      <c r="H48" s="48">
        <f t="shared" si="1"/>
        <v>-76362.570000000007</v>
      </c>
    </row>
    <row r="49" spans="1:8" x14ac:dyDescent="0.25">
      <c r="A49" s="37">
        <v>1720</v>
      </c>
      <c r="B49" s="37" t="s">
        <v>67</v>
      </c>
      <c r="C49" s="48">
        <v>-183730.52</v>
      </c>
      <c r="D49" s="48">
        <f>IFERROR(VLOOKUP($A49,[1]Consolidated!$A:$G,7,FALSE),0)</f>
        <v>0</v>
      </c>
      <c r="E49" s="48">
        <f>IFERROR(VLOOKUP($A49,[1]Consolidated!$A:$F,6,FALSE),0)</f>
        <v>0</v>
      </c>
      <c r="F49" s="48">
        <f>IFERROR(VLOOKUP($A49,[1]Consolidated!$A:$I,9,FALSE),0)</f>
        <v>0</v>
      </c>
      <c r="G49" s="48"/>
      <c r="H49" s="48">
        <f t="shared" si="1"/>
        <v>-183730.52</v>
      </c>
    </row>
    <row r="50" spans="1:8" x14ac:dyDescent="0.25">
      <c r="A50" s="37">
        <v>1725</v>
      </c>
      <c r="B50" s="37" t="s">
        <v>68</v>
      </c>
      <c r="C50" s="48">
        <v>-758372.19</v>
      </c>
      <c r="D50" s="48">
        <f>IFERROR(VLOOKUP($A50,[1]Consolidated!$A:$G,7,FALSE),0)</f>
        <v>0</v>
      </c>
      <c r="E50" s="48">
        <f>IFERROR(VLOOKUP($A50,[1]Consolidated!$A:$F,6,FALSE),0)</f>
        <v>0</v>
      </c>
      <c r="F50" s="48">
        <f>IFERROR(VLOOKUP($A50,[1]Consolidated!$A:$I,9,FALSE),0)</f>
        <v>0</v>
      </c>
      <c r="G50" s="48"/>
      <c r="H50" s="48">
        <f t="shared" si="1"/>
        <v>-758372.19</v>
      </c>
    </row>
    <row r="51" spans="1:8" x14ac:dyDescent="0.25">
      <c r="A51" s="37">
        <v>1730</v>
      </c>
      <c r="B51" s="37" t="s">
        <v>69</v>
      </c>
      <c r="C51" s="48">
        <v>-273096.45</v>
      </c>
      <c r="D51" s="48">
        <f>IFERROR(VLOOKUP($A51,[1]Consolidated!$A:$G,7,FALSE),0)</f>
        <v>0</v>
      </c>
      <c r="E51" s="48">
        <f>IFERROR(VLOOKUP($A51,[1]Consolidated!$A:$F,6,FALSE),0)</f>
        <v>0</v>
      </c>
      <c r="F51" s="48">
        <f>IFERROR(VLOOKUP($A51,[1]Consolidated!$A:$I,9,FALSE),0)</f>
        <v>0</v>
      </c>
      <c r="G51" s="48"/>
      <c r="H51" s="48">
        <f t="shared" si="1"/>
        <v>-273096.45</v>
      </c>
    </row>
    <row r="52" spans="1:8" x14ac:dyDescent="0.25">
      <c r="A52" s="37">
        <v>1735</v>
      </c>
      <c r="B52" s="37" t="s">
        <v>70</v>
      </c>
      <c r="C52" s="48">
        <v>-1549082.66</v>
      </c>
      <c r="D52" s="48">
        <f>IFERROR(VLOOKUP($A52,[1]Consolidated!$A:$G,7,FALSE),0)</f>
        <v>0</v>
      </c>
      <c r="E52" s="48">
        <f>IFERROR(VLOOKUP($A52,[1]Consolidated!$A:$F,6,FALSE),0)</f>
        <v>0</v>
      </c>
      <c r="F52" s="48">
        <f>IFERROR(VLOOKUP($A52,[1]Consolidated!$A:$I,9,FALSE),0)</f>
        <v>0</v>
      </c>
      <c r="G52" s="48"/>
      <c r="H52" s="48">
        <f t="shared" si="1"/>
        <v>-1549082.66</v>
      </c>
    </row>
    <row r="53" spans="1:8" x14ac:dyDescent="0.25">
      <c r="A53" s="37">
        <v>1740</v>
      </c>
      <c r="B53" s="37" t="s">
        <v>71</v>
      </c>
      <c r="C53" s="48">
        <v>-916.65</v>
      </c>
      <c r="D53" s="48">
        <f>IFERROR(VLOOKUP($A53,[1]Consolidated!$A:$G,7,FALSE),0)</f>
        <v>0</v>
      </c>
      <c r="E53" s="48">
        <f>IFERROR(VLOOKUP($A53,[1]Consolidated!$A:$F,6,FALSE),0)</f>
        <v>0</v>
      </c>
      <c r="F53" s="48">
        <f>IFERROR(VLOOKUP($A53,[1]Consolidated!$A:$I,9,FALSE),0)</f>
        <v>0</v>
      </c>
      <c r="G53" s="48"/>
      <c r="H53" s="48">
        <f t="shared" si="1"/>
        <v>-916.65</v>
      </c>
    </row>
    <row r="54" spans="1:8" x14ac:dyDescent="0.25">
      <c r="A54" s="37">
        <v>1780</v>
      </c>
      <c r="B54" s="37" t="s">
        <v>72</v>
      </c>
      <c r="C54" s="48">
        <v>-650165.18999999994</v>
      </c>
      <c r="D54" s="48">
        <f>IFERROR(VLOOKUP($A54,[1]Consolidated!$A:$G,7,FALSE),0)</f>
        <v>0</v>
      </c>
      <c r="E54" s="48">
        <f>IFERROR(VLOOKUP($A54,[1]Consolidated!$A:$F,6,FALSE),0)</f>
        <v>0</v>
      </c>
      <c r="F54" s="48">
        <f>IFERROR(VLOOKUP($A54,[1]Consolidated!$A:$I,9,FALSE),0)</f>
        <v>0</v>
      </c>
      <c r="G54" s="48"/>
      <c r="H54" s="48">
        <f t="shared" si="1"/>
        <v>-650165.18999999994</v>
      </c>
    </row>
    <row r="55" spans="1:8" x14ac:dyDescent="0.25">
      <c r="A55" s="37">
        <v>1806</v>
      </c>
      <c r="B55" s="37" t="s">
        <v>77</v>
      </c>
      <c r="C55" s="48">
        <v>1214668.3999999999</v>
      </c>
      <c r="D55" s="48">
        <f>IFERROR(VLOOKUP($A55,[1]Consolidated!$A:$G,7,FALSE),0)</f>
        <v>0</v>
      </c>
      <c r="E55" s="48">
        <f>IFERROR(VLOOKUP($A55,[1]Consolidated!$A:$F,6,FALSE),0)</f>
        <v>0</v>
      </c>
      <c r="F55" s="48">
        <f>IFERROR(VLOOKUP($A55,[1]Consolidated!$A:$I,9,FALSE),0)</f>
        <v>0</v>
      </c>
      <c r="G55" s="48"/>
      <c r="H55" s="48">
        <f t="shared" si="1"/>
        <v>1214668.3999999999</v>
      </c>
    </row>
    <row r="56" spans="1:8" x14ac:dyDescent="0.25">
      <c r="A56" s="37">
        <v>1815</v>
      </c>
      <c r="B56" s="37" t="s">
        <v>78</v>
      </c>
      <c r="C56" s="48">
        <v>16737909.17</v>
      </c>
      <c r="D56" s="48">
        <f>IFERROR(VLOOKUP($A56,[1]Consolidated!$A:$G,7,FALSE),0)</f>
        <v>0</v>
      </c>
      <c r="E56" s="48">
        <f>IFERROR(VLOOKUP($A56,[1]Consolidated!$A:$F,6,FALSE),0)</f>
        <v>-16737909.17</v>
      </c>
      <c r="F56" s="48">
        <f>IFERROR(VLOOKUP($A56,[1]Consolidated!$A:$I,9,FALSE),0)</f>
        <v>0</v>
      </c>
      <c r="G56" s="48"/>
      <c r="H56" s="48">
        <f t="shared" si="1"/>
        <v>0</v>
      </c>
    </row>
    <row r="57" spans="1:8" ht="15.75" thickBot="1" x14ac:dyDescent="0.3">
      <c r="A57" s="37">
        <v>1820</v>
      </c>
      <c r="B57" s="37" t="s">
        <v>79</v>
      </c>
      <c r="C57" s="48">
        <v>384966.52</v>
      </c>
      <c r="D57" s="48">
        <f>IFERROR(VLOOKUP($A57,[1]Consolidated!$A:$G,7,FALSE),0)</f>
        <v>0</v>
      </c>
      <c r="E57" s="48">
        <f>IFERROR(VLOOKUP($A57,[1]Consolidated!$A:$F,6,FALSE),0)</f>
        <v>-384966.52</v>
      </c>
      <c r="F57" s="48">
        <f>IFERROR(VLOOKUP($A57,[1]Consolidated!$A:$I,9,FALSE),0)</f>
        <v>0</v>
      </c>
      <c r="G57" s="48"/>
      <c r="H57" s="48">
        <f t="shared" si="1"/>
        <v>0</v>
      </c>
    </row>
    <row r="58" spans="1:8" x14ac:dyDescent="0.25">
      <c r="A58" s="38">
        <v>1825</v>
      </c>
      <c r="B58" s="38" t="s">
        <v>80</v>
      </c>
      <c r="C58" s="49">
        <v>3000</v>
      </c>
      <c r="D58" s="48">
        <f>IFERROR(VLOOKUP($A58,[1]Consolidated!$A:$G,7,FALSE),0)</f>
        <v>0</v>
      </c>
      <c r="E58" s="48">
        <f>IFERROR(VLOOKUP($A58,[1]Consolidated!$A:$F,6,FALSE),0)</f>
        <v>0</v>
      </c>
      <c r="F58" s="48">
        <f>IFERROR(VLOOKUP($A58,[1]Consolidated!$A:$I,9,FALSE),0)</f>
        <v>0</v>
      </c>
      <c r="G58" s="50"/>
      <c r="H58" s="48">
        <f t="shared" si="1"/>
        <v>3000</v>
      </c>
    </row>
    <row r="59" spans="1:8" x14ac:dyDescent="0.25">
      <c r="A59" s="37">
        <v>2010</v>
      </c>
      <c r="B59" s="37" t="s">
        <v>81</v>
      </c>
      <c r="C59" s="48">
        <v>-7668771.71</v>
      </c>
      <c r="D59" s="48">
        <f>IFERROR(VLOOKUP($A59,[1]Consolidated!$A:$G,7,FALSE),0)</f>
        <v>0</v>
      </c>
      <c r="E59" s="48">
        <f>IFERROR(VLOOKUP($A59,[1]Consolidated!$A:$F,6,FALSE),0)</f>
        <v>0</v>
      </c>
      <c r="F59" s="48">
        <f>IFERROR(VLOOKUP($A59,[1]Consolidated!$A:$I,9,FALSE),0)</f>
        <v>0</v>
      </c>
      <c r="G59" s="48"/>
      <c r="H59" s="48">
        <f t="shared" si="1"/>
        <v>-7668771.71</v>
      </c>
    </row>
    <row r="60" spans="1:8" x14ac:dyDescent="0.25">
      <c r="A60" s="37">
        <v>2020</v>
      </c>
      <c r="B60" s="37" t="s">
        <v>83</v>
      </c>
      <c r="C60" s="48">
        <v>4174.93</v>
      </c>
      <c r="D60" s="48">
        <f>IFERROR(VLOOKUP($A60,[1]Consolidated!$A:$G,7,FALSE),0)</f>
        <v>0</v>
      </c>
      <c r="E60" s="48">
        <f>IFERROR(VLOOKUP($A60,[1]Consolidated!$A:$F,6,FALSE),0)</f>
        <v>0</v>
      </c>
      <c r="F60" s="48">
        <f>IFERROR(VLOOKUP($A60,[1]Consolidated!$A:$I,9,FALSE),0)</f>
        <v>0</v>
      </c>
      <c r="G60" s="48"/>
      <c r="H60" s="48">
        <f t="shared" si="1"/>
        <v>4174.93</v>
      </c>
    </row>
    <row r="61" spans="1:8" x14ac:dyDescent="0.25">
      <c r="A61" s="37">
        <v>2030</v>
      </c>
      <c r="B61" s="37" t="s">
        <v>84</v>
      </c>
      <c r="C61" s="48">
        <v>-108592.54</v>
      </c>
      <c r="D61" s="48">
        <f>IFERROR(VLOOKUP($A61,[1]Consolidated!$A:$G,7,FALSE),0)</f>
        <v>0</v>
      </c>
      <c r="E61" s="48">
        <f>IFERROR(VLOOKUP($A61,[1]Consolidated!$A:$F,6,FALSE),0)</f>
        <v>0</v>
      </c>
      <c r="F61" s="48">
        <f>IFERROR(VLOOKUP($A61,[1]Consolidated!$A:$I,9,FALSE),0)</f>
        <v>0</v>
      </c>
      <c r="G61" s="48"/>
      <c r="H61" s="48">
        <f t="shared" si="1"/>
        <v>-108592.54</v>
      </c>
    </row>
    <row r="62" spans="1:8" x14ac:dyDescent="0.25">
      <c r="A62" s="37">
        <v>2035</v>
      </c>
      <c r="B62" s="37" t="s">
        <v>85</v>
      </c>
      <c r="C62" s="48">
        <v>-1770577.94</v>
      </c>
      <c r="D62" s="48">
        <f>IFERROR(VLOOKUP($A62,[1]Consolidated!$A:$G,7,FALSE),0)</f>
        <v>0</v>
      </c>
      <c r="E62" s="48">
        <f>IFERROR(VLOOKUP($A62,[1]Consolidated!$A:$F,6,FALSE),0)</f>
        <v>0</v>
      </c>
      <c r="F62" s="48">
        <f>IFERROR(VLOOKUP($A62,[1]Consolidated!$A:$I,9,FALSE),0)</f>
        <v>0</v>
      </c>
      <c r="G62" s="48"/>
      <c r="H62" s="48">
        <f t="shared" si="1"/>
        <v>-1770577.94</v>
      </c>
    </row>
    <row r="63" spans="1:8" x14ac:dyDescent="0.25">
      <c r="A63" s="37">
        <v>2045</v>
      </c>
      <c r="B63" s="37" t="s">
        <v>86</v>
      </c>
      <c r="C63" s="48">
        <v>-855153.65</v>
      </c>
      <c r="D63" s="48">
        <f>IFERROR(VLOOKUP($A63,[1]Consolidated!$A:$G,7,FALSE),0)</f>
        <v>0</v>
      </c>
      <c r="E63" s="48">
        <f>IFERROR(VLOOKUP($A63,[1]Consolidated!$A:$F,6,FALSE),0)</f>
        <v>0</v>
      </c>
      <c r="F63" s="48">
        <f>IFERROR(VLOOKUP($A63,[1]Consolidated!$A:$I,9,FALSE),0)</f>
        <v>0</v>
      </c>
      <c r="G63" s="48"/>
      <c r="H63" s="48">
        <f t="shared" si="1"/>
        <v>-855153.65</v>
      </c>
    </row>
    <row r="64" spans="1:8" x14ac:dyDescent="0.25">
      <c r="A64" s="37">
        <v>2055</v>
      </c>
      <c r="B64" s="37" t="s">
        <v>87</v>
      </c>
      <c r="C64" s="48">
        <v>-909271.93</v>
      </c>
      <c r="D64" s="48">
        <f>IFERROR(VLOOKUP($A64,[1]Consolidated!$A:$G,7,FALSE),0)</f>
        <v>0</v>
      </c>
      <c r="E64" s="48">
        <f>IFERROR(VLOOKUP($A64,[1]Consolidated!$A:$F,6,FALSE),0)</f>
        <v>0</v>
      </c>
      <c r="F64" s="48">
        <f>IFERROR(VLOOKUP($A64,[1]Consolidated!$A:$I,9,FALSE),0)</f>
        <v>0</v>
      </c>
      <c r="G64" s="48"/>
      <c r="H64" s="48">
        <f t="shared" si="1"/>
        <v>-909271.93</v>
      </c>
    </row>
    <row r="65" spans="1:8" x14ac:dyDescent="0.25">
      <c r="A65" s="41">
        <v>2065</v>
      </c>
      <c r="B65" s="41" t="s">
        <v>88</v>
      </c>
      <c r="C65" s="49">
        <v>-417536.08</v>
      </c>
      <c r="D65" s="48">
        <f>IFERROR(VLOOKUP($A65,[1]Consolidated!$A:$G,7,FALSE),0)</f>
        <v>0</v>
      </c>
      <c r="E65" s="48">
        <f>IFERROR(VLOOKUP($A65,[1]Consolidated!$A:$F,6,FALSE),0)</f>
        <v>0</v>
      </c>
      <c r="F65" s="48">
        <f>IFERROR(VLOOKUP($A65,[1]Consolidated!$A:$I,9,FALSE),0)</f>
        <v>0</v>
      </c>
      <c r="G65" s="49"/>
      <c r="H65" s="48">
        <f t="shared" si="1"/>
        <v>-417536.08</v>
      </c>
    </row>
    <row r="66" spans="1:8" x14ac:dyDescent="0.25">
      <c r="A66" s="37">
        <v>2075</v>
      </c>
      <c r="B66" s="37" t="s">
        <v>89</v>
      </c>
      <c r="C66" s="48">
        <v>-72661.3</v>
      </c>
      <c r="D66" s="48">
        <f>IFERROR(VLOOKUP($A66,[1]Consolidated!$A:$G,7,FALSE),0)</f>
        <v>0</v>
      </c>
      <c r="E66" s="48">
        <f>IFERROR(VLOOKUP($A66,[1]Consolidated!$A:$F,6,FALSE),0)</f>
        <v>0</v>
      </c>
      <c r="F66" s="48">
        <f>IFERROR(VLOOKUP($A66,[1]Consolidated!$A:$I,9,FALSE),0)</f>
        <v>0</v>
      </c>
      <c r="G66" s="48"/>
      <c r="H66" s="48">
        <f t="shared" si="1"/>
        <v>-72661.3</v>
      </c>
    </row>
    <row r="67" spans="1:8" x14ac:dyDescent="0.25">
      <c r="A67" s="37">
        <v>2085</v>
      </c>
      <c r="B67" s="37" t="s">
        <v>90</v>
      </c>
      <c r="C67" s="48">
        <v>-40770.92</v>
      </c>
      <c r="D67" s="48">
        <f>IFERROR(VLOOKUP($A67,[1]Consolidated!$A:$G,7,FALSE),0)</f>
        <v>0</v>
      </c>
      <c r="E67" s="48">
        <f>IFERROR(VLOOKUP($A67,[1]Consolidated!$A:$F,6,FALSE),0)</f>
        <v>0</v>
      </c>
      <c r="F67" s="48">
        <f>IFERROR(VLOOKUP($A67,[1]Consolidated!$A:$I,9,FALSE),0)</f>
        <v>0</v>
      </c>
      <c r="G67" s="48"/>
      <c r="H67" s="48">
        <f t="shared" si="1"/>
        <v>-40770.92</v>
      </c>
    </row>
    <row r="68" spans="1:8" x14ac:dyDescent="0.25">
      <c r="A68" s="37">
        <v>2120</v>
      </c>
      <c r="B68" s="37" t="s">
        <v>91</v>
      </c>
      <c r="C68" s="48">
        <v>-64817.56</v>
      </c>
      <c r="D68" s="48">
        <f>IFERROR(VLOOKUP($A68,[1]Consolidated!$A:$G,7,FALSE),0)</f>
        <v>0</v>
      </c>
      <c r="E68" s="48">
        <f>IFERROR(VLOOKUP($A68,[1]Consolidated!$A:$F,6,FALSE),0)</f>
        <v>0</v>
      </c>
      <c r="F68" s="48">
        <f>IFERROR(VLOOKUP($A68,[1]Consolidated!$A:$I,9,FALSE),0)</f>
        <v>0</v>
      </c>
      <c r="G68" s="48"/>
      <c r="H68" s="48">
        <f t="shared" si="1"/>
        <v>-64817.56</v>
      </c>
    </row>
    <row r="69" spans="1:8" x14ac:dyDescent="0.25">
      <c r="A69" s="37">
        <v>2121</v>
      </c>
      <c r="B69" s="37" t="s">
        <v>92</v>
      </c>
      <c r="C69" s="48">
        <v>-10733.27</v>
      </c>
      <c r="D69" s="48">
        <f>IFERROR(VLOOKUP($A69,[1]Consolidated!$A:$G,7,FALSE),0)</f>
        <v>0</v>
      </c>
      <c r="E69" s="48">
        <f>IFERROR(VLOOKUP($A69,[1]Consolidated!$A:$F,6,FALSE),0)</f>
        <v>0</v>
      </c>
      <c r="F69" s="48">
        <f>IFERROR(VLOOKUP($A69,[1]Consolidated!$A:$I,9,FALSE),0)</f>
        <v>0</v>
      </c>
      <c r="G69" s="48"/>
      <c r="H69" s="48">
        <f t="shared" si="1"/>
        <v>-10733.27</v>
      </c>
    </row>
    <row r="70" spans="1:8" x14ac:dyDescent="0.25">
      <c r="A70" s="37">
        <v>2140</v>
      </c>
      <c r="B70" s="37" t="s">
        <v>93</v>
      </c>
      <c r="C70" s="48">
        <v>-312955.76</v>
      </c>
      <c r="D70" s="48">
        <f>IFERROR(VLOOKUP($A70,[1]Consolidated!$A:$G,7,FALSE),0)</f>
        <v>0</v>
      </c>
      <c r="E70" s="48">
        <f>IFERROR(VLOOKUP($A70,[1]Consolidated!$A:$F,6,FALSE),0)</f>
        <v>0</v>
      </c>
      <c r="F70" s="48">
        <f>IFERROR(VLOOKUP($A70,[1]Consolidated!$A:$I,9,FALSE),0)</f>
        <v>0</v>
      </c>
      <c r="G70" s="48"/>
      <c r="H70" s="48">
        <f t="shared" si="1"/>
        <v>-312955.76</v>
      </c>
    </row>
    <row r="71" spans="1:8" x14ac:dyDescent="0.25">
      <c r="A71" s="37">
        <v>2145</v>
      </c>
      <c r="B71" s="37" t="s">
        <v>94</v>
      </c>
      <c r="C71" s="48">
        <v>-13879404.119999999</v>
      </c>
      <c r="D71" s="48">
        <f>IFERROR(VLOOKUP($A71,[1]Consolidated!$A:$G,7,FALSE),0)</f>
        <v>0</v>
      </c>
      <c r="E71" s="48">
        <f>IFERROR(VLOOKUP($A71,[1]Consolidated!$A:$F,6,FALSE),0)</f>
        <v>10454419.869999999</v>
      </c>
      <c r="F71" s="48">
        <f>IFERROR(VLOOKUP($A71,[1]Consolidated!$A:$I,9,FALSE),0)</f>
        <v>0</v>
      </c>
      <c r="G71" s="48"/>
      <c r="H71" s="48">
        <f t="shared" si="1"/>
        <v>-3424984.25</v>
      </c>
    </row>
    <row r="72" spans="1:8" x14ac:dyDescent="0.25">
      <c r="A72" s="37">
        <v>2147</v>
      </c>
      <c r="B72" s="37" t="s">
        <v>95</v>
      </c>
      <c r="C72" s="48">
        <v>-22941.06</v>
      </c>
      <c r="D72" s="48">
        <f>IFERROR(VLOOKUP($A72,[1]Consolidated!$A:$G,7,FALSE),0)</f>
        <v>0</v>
      </c>
      <c r="E72" s="48">
        <f>IFERROR(VLOOKUP($A72,[1]Consolidated!$A:$F,6,FALSE),0)</f>
        <v>0</v>
      </c>
      <c r="F72" s="48">
        <f>IFERROR(VLOOKUP($A72,[1]Consolidated!$A:$I,9,FALSE),0)</f>
        <v>0</v>
      </c>
      <c r="G72" s="48"/>
      <c r="H72" s="48">
        <f t="shared" ref="H72:H103" si="2">SUM(C72:G72)</f>
        <v>-22941.06</v>
      </c>
    </row>
    <row r="73" spans="1:8" x14ac:dyDescent="0.25">
      <c r="A73" s="37">
        <v>2150</v>
      </c>
      <c r="B73" s="37" t="s">
        <v>96</v>
      </c>
      <c r="C73" s="48">
        <v>-98308016.890000001</v>
      </c>
      <c r="D73" s="48">
        <f>IFERROR(VLOOKUP($A73,[1]Consolidated!$A:$G,7,FALSE),0)</f>
        <v>25000000</v>
      </c>
      <c r="E73" s="48">
        <f>IFERROR(VLOOKUP($A73,[1]Consolidated!$A:$F,6,FALSE),0)</f>
        <v>0</v>
      </c>
      <c r="F73" s="48">
        <f>IFERROR(VLOOKUP($A73,[1]Consolidated!$A:$I,9,FALSE),0)</f>
        <v>0</v>
      </c>
      <c r="G73" s="48"/>
      <c r="H73" s="48">
        <f t="shared" si="2"/>
        <v>-73308016.890000001</v>
      </c>
    </row>
    <row r="74" spans="1:8" x14ac:dyDescent="0.25">
      <c r="A74" s="37">
        <v>2210</v>
      </c>
      <c r="B74" s="37" t="s">
        <v>98</v>
      </c>
      <c r="C74" s="48">
        <v>-0.01</v>
      </c>
      <c r="D74" s="48">
        <f>IFERROR(VLOOKUP($A74,[1]Consolidated!$A:$G,7,FALSE),0)</f>
        <v>0</v>
      </c>
      <c r="E74" s="48">
        <f>IFERROR(VLOOKUP($A74,[1]Consolidated!$A:$F,6,FALSE),0)</f>
        <v>0</v>
      </c>
      <c r="F74" s="48">
        <f>IFERROR(VLOOKUP($A74,[1]Consolidated!$A:$I,9,FALSE),0)</f>
        <v>0</v>
      </c>
      <c r="G74" s="48"/>
      <c r="H74" s="48">
        <f t="shared" si="2"/>
        <v>-0.01</v>
      </c>
    </row>
    <row r="75" spans="1:8" x14ac:dyDescent="0.25">
      <c r="A75" s="37">
        <v>2211</v>
      </c>
      <c r="B75" s="37" t="s">
        <v>99</v>
      </c>
      <c r="C75" s="48">
        <v>-3000000</v>
      </c>
      <c r="D75" s="48">
        <f>IFERROR(VLOOKUP($A75,[1]Consolidated!$A:$G,7,FALSE),0)</f>
        <v>0</v>
      </c>
      <c r="E75" s="48">
        <f>IFERROR(VLOOKUP($A75,[1]Consolidated!$A:$F,6,FALSE),0)</f>
        <v>0</v>
      </c>
      <c r="F75" s="48">
        <f>IFERROR(VLOOKUP($A75,[1]Consolidated!$A:$I,9,FALSE),0)</f>
        <v>0</v>
      </c>
      <c r="G75" s="48"/>
      <c r="H75" s="48">
        <f t="shared" si="2"/>
        <v>-3000000</v>
      </c>
    </row>
    <row r="76" spans="1:8" x14ac:dyDescent="0.25">
      <c r="A76" s="37">
        <v>2310</v>
      </c>
      <c r="B76" s="37" t="s">
        <v>100</v>
      </c>
      <c r="C76" s="48">
        <v>-132266.47</v>
      </c>
      <c r="D76" s="48">
        <f>IFERROR(VLOOKUP($A76,[1]Consolidated!$A:$G,7,FALSE),0)</f>
        <v>0</v>
      </c>
      <c r="E76" s="48">
        <f>IFERROR(VLOOKUP($A76,[1]Consolidated!$A:$F,6,FALSE),0)</f>
        <v>0</v>
      </c>
      <c r="F76" s="48">
        <f>IFERROR(VLOOKUP($A76,[1]Consolidated!$A:$I,9,FALSE),0)</f>
        <v>0</v>
      </c>
      <c r="G76" s="48"/>
      <c r="H76" s="48">
        <f t="shared" si="2"/>
        <v>-132266.47</v>
      </c>
    </row>
    <row r="77" spans="1:8" x14ac:dyDescent="0.25">
      <c r="A77" s="37">
        <v>2410</v>
      </c>
      <c r="B77" s="37" t="s">
        <v>101</v>
      </c>
      <c r="C77" s="48">
        <v>-1571605.24</v>
      </c>
      <c r="D77" s="48">
        <f>IFERROR(VLOOKUP($A77,[1]Consolidated!$A:$G,7,FALSE),0)</f>
        <v>0</v>
      </c>
      <c r="E77" s="48">
        <f>IFERROR(VLOOKUP($A77,[1]Consolidated!$A:$F,6,FALSE),0)</f>
        <v>0</v>
      </c>
      <c r="F77" s="48">
        <f>IFERROR(VLOOKUP($A77,[1]Consolidated!$A:$I,9,FALSE),0)</f>
        <v>0</v>
      </c>
      <c r="G77" s="48"/>
      <c r="H77" s="48">
        <f t="shared" si="2"/>
        <v>-1571605.24</v>
      </c>
    </row>
    <row r="78" spans="1:8" x14ac:dyDescent="0.25">
      <c r="A78" s="37">
        <v>2425</v>
      </c>
      <c r="B78" s="37" t="s">
        <v>102</v>
      </c>
      <c r="C78" s="48">
        <v>-40000000</v>
      </c>
      <c r="D78" s="48">
        <f>IFERROR(VLOOKUP($A78,[1]Consolidated!$A:$G,7,FALSE),0)</f>
        <v>0</v>
      </c>
      <c r="E78" s="48">
        <f>IFERROR(VLOOKUP($A78,[1]Consolidated!$A:$F,6,FALSE),0)</f>
        <v>0</v>
      </c>
      <c r="F78" s="48">
        <f>IFERROR(VLOOKUP($A78,[1]Consolidated!$A:$I,9,FALSE),0)</f>
        <v>0</v>
      </c>
      <c r="G78" s="48"/>
      <c r="H78" s="48">
        <f t="shared" si="2"/>
        <v>-40000000</v>
      </c>
    </row>
    <row r="79" spans="1:8" x14ac:dyDescent="0.25">
      <c r="A79" s="37">
        <v>2426</v>
      </c>
      <c r="B79" s="37" t="s">
        <v>366</v>
      </c>
      <c r="C79" s="48">
        <v>-173150.69</v>
      </c>
      <c r="D79" s="48">
        <f>IFERROR(VLOOKUP($A79,[1]Consolidated!$A:$G,7,FALSE),0)</f>
        <v>0</v>
      </c>
      <c r="E79" s="48">
        <f>IFERROR(VLOOKUP($A79,[1]Consolidated!$A:$F,6,FALSE),0)</f>
        <v>0</v>
      </c>
      <c r="F79" s="48">
        <f>IFERROR(VLOOKUP($A79,[1]Consolidated!$A:$I,9,FALSE),0)</f>
        <v>0</v>
      </c>
      <c r="G79" s="48"/>
      <c r="H79" s="48">
        <f t="shared" si="2"/>
        <v>-173150.69</v>
      </c>
    </row>
    <row r="80" spans="1:8" x14ac:dyDescent="0.25">
      <c r="A80" s="37">
        <v>2510</v>
      </c>
      <c r="B80" s="37" t="s">
        <v>104</v>
      </c>
      <c r="C80" s="48">
        <v>-231073.28</v>
      </c>
      <c r="D80" s="48">
        <f>IFERROR(VLOOKUP($A80,[1]Consolidated!$A:$G,7,FALSE),0)</f>
        <v>0</v>
      </c>
      <c r="E80" s="48">
        <f>IFERROR(VLOOKUP($A80,[1]Consolidated!$A:$F,6,FALSE),0)</f>
        <v>0</v>
      </c>
      <c r="F80" s="48">
        <f>IFERROR(VLOOKUP($A80,[1]Consolidated!$A:$I,9,FALSE),0)</f>
        <v>0</v>
      </c>
      <c r="G80" s="48"/>
      <c r="H80" s="48">
        <f t="shared" si="2"/>
        <v>-231073.28</v>
      </c>
    </row>
    <row r="81" spans="1:8" x14ac:dyDescent="0.25">
      <c r="A81" s="37">
        <v>3010</v>
      </c>
      <c r="B81" s="37" t="s">
        <v>367</v>
      </c>
      <c r="C81" s="48">
        <v>-3522.66</v>
      </c>
      <c r="D81" s="48">
        <f>IFERROR(VLOOKUP($A81,[1]Consolidated!$A:$G,7,FALSE),0)</f>
        <v>0</v>
      </c>
      <c r="E81" s="48">
        <f>IFERROR(VLOOKUP($A81,[1]Consolidated!$A:$F,6,FALSE),0)</f>
        <v>556.05999999999995</v>
      </c>
      <c r="F81" s="48">
        <f>IFERROR(VLOOKUP($A81,[1]Consolidated!$A:$I,9,FALSE),0)</f>
        <v>0</v>
      </c>
      <c r="G81" s="48"/>
      <c r="H81" s="48">
        <f t="shared" si="2"/>
        <v>-2966.6</v>
      </c>
    </row>
    <row r="82" spans="1:8" x14ac:dyDescent="0.25">
      <c r="A82" s="37">
        <v>3015</v>
      </c>
      <c r="B82" s="37" t="s">
        <v>368</v>
      </c>
      <c r="C82" s="48">
        <v>-13503498.880000001</v>
      </c>
      <c r="D82" s="48">
        <f>IFERROR(VLOOKUP($A82,[1]Consolidated!$A:$G,7,FALSE),0)</f>
        <v>0</v>
      </c>
      <c r="E82" s="48">
        <f>IFERROR(VLOOKUP($A82,[1]Consolidated!$A:$F,6,FALSE),0)</f>
        <v>6282933.2400000002</v>
      </c>
      <c r="F82" s="48">
        <f>IFERROR(VLOOKUP($A82,[1]Consolidated!$A:$I,9,FALSE),0)</f>
        <v>0</v>
      </c>
      <c r="G82" s="48"/>
      <c r="H82" s="48">
        <f t="shared" si="2"/>
        <v>-7220565.6400000006</v>
      </c>
    </row>
    <row r="83" spans="1:8" x14ac:dyDescent="0.25">
      <c r="A83" s="37">
        <v>3020</v>
      </c>
      <c r="B83" s="37" t="s">
        <v>107</v>
      </c>
      <c r="C83" s="48">
        <v>-926.4</v>
      </c>
      <c r="D83" s="48">
        <f>IFERROR(VLOOKUP($A83,[1]Consolidated!$A:$G,7,FALSE),0)</f>
        <v>0</v>
      </c>
      <c r="E83" s="48">
        <f>IFERROR(VLOOKUP($A83,[1]Consolidated!$A:$F,6,FALSE),0)</f>
        <v>0</v>
      </c>
      <c r="F83" s="48">
        <f>IFERROR(VLOOKUP($A83,[1]Consolidated!$A:$I,9,FALSE),0)</f>
        <v>0</v>
      </c>
      <c r="G83" s="48"/>
      <c r="H83" s="48">
        <f t="shared" si="2"/>
        <v>-926.4</v>
      </c>
    </row>
    <row r="84" spans="1:8" x14ac:dyDescent="0.25">
      <c r="A84" s="37">
        <v>3025</v>
      </c>
      <c r="B84" s="37" t="s">
        <v>108</v>
      </c>
      <c r="C84" s="48">
        <v>-6391349.5300000003</v>
      </c>
      <c r="D84" s="48">
        <f>IFERROR(VLOOKUP($A84,[1]Consolidated!$A:$G,7,FALSE),0)</f>
        <v>0</v>
      </c>
      <c r="E84" s="48">
        <f>IFERROR(VLOOKUP($A84,[1]Consolidated!$A:$F,6,FALSE),0)</f>
        <v>0</v>
      </c>
      <c r="F84" s="48">
        <f>IFERROR(VLOOKUP($A84,[1]Consolidated!$A:$I,9,FALSE),0)</f>
        <v>0</v>
      </c>
      <c r="G84" s="48"/>
      <c r="H84" s="48">
        <f t="shared" si="2"/>
        <v>-6391349.5300000003</v>
      </c>
    </row>
    <row r="85" spans="1:8" x14ac:dyDescent="0.25">
      <c r="A85" s="37">
        <v>3030</v>
      </c>
      <c r="B85" s="37" t="s">
        <v>109</v>
      </c>
      <c r="C85" s="48">
        <v>-1083.26</v>
      </c>
      <c r="D85" s="48">
        <f>IFERROR(VLOOKUP($A85,[1]Consolidated!$A:$G,7,FALSE),0)</f>
        <v>0</v>
      </c>
      <c r="E85" s="48">
        <f>IFERROR(VLOOKUP($A85,[1]Consolidated!$A:$F,6,FALSE),0)</f>
        <v>0</v>
      </c>
      <c r="F85" s="48">
        <f>IFERROR(VLOOKUP($A85,[1]Consolidated!$A:$I,9,FALSE),0)</f>
        <v>0</v>
      </c>
      <c r="G85" s="48"/>
      <c r="H85" s="48">
        <f t="shared" si="2"/>
        <v>-1083.26</v>
      </c>
    </row>
    <row r="86" spans="1:8" x14ac:dyDescent="0.25">
      <c r="A86" s="37">
        <v>3032</v>
      </c>
      <c r="B86" s="37" t="s">
        <v>110</v>
      </c>
      <c r="C86" s="48">
        <v>153728.4</v>
      </c>
      <c r="D86" s="48">
        <f>IFERROR(VLOOKUP($A86,[1]Consolidated!$A:$G,7,FALSE),0)</f>
        <v>0</v>
      </c>
      <c r="E86" s="48">
        <f>IFERROR(VLOOKUP($A86,[1]Consolidated!$A:$F,6,FALSE),0)</f>
        <v>0</v>
      </c>
      <c r="F86" s="48">
        <f>IFERROR(VLOOKUP($A86,[1]Consolidated!$A:$I,9,FALSE),0)</f>
        <v>0</v>
      </c>
      <c r="G86" s="48"/>
      <c r="H86" s="48">
        <f t="shared" si="2"/>
        <v>153728.4</v>
      </c>
    </row>
    <row r="87" spans="1:8" x14ac:dyDescent="0.25">
      <c r="A87" s="37">
        <v>3035</v>
      </c>
      <c r="B87" s="37" t="s">
        <v>111</v>
      </c>
      <c r="C87" s="48">
        <v>-9998916.6899999995</v>
      </c>
      <c r="D87" s="48">
        <f>IFERROR(VLOOKUP($A87,[1]Consolidated!$A:$G,7,FALSE),0)</f>
        <v>0</v>
      </c>
      <c r="E87" s="48">
        <f>IFERROR(VLOOKUP($A87,[1]Consolidated!$A:$F,6,FALSE),0)</f>
        <v>0</v>
      </c>
      <c r="F87" s="48">
        <f>IFERROR(VLOOKUP($A87,[1]Consolidated!$A:$I,9,FALSE),0)</f>
        <v>0</v>
      </c>
      <c r="G87" s="48"/>
      <c r="H87" s="48">
        <f t="shared" si="2"/>
        <v>-9998916.6899999995</v>
      </c>
    </row>
    <row r="88" spans="1:8" x14ac:dyDescent="0.25">
      <c r="A88" s="37">
        <v>3040</v>
      </c>
      <c r="B88" s="37" t="s">
        <v>112</v>
      </c>
      <c r="C88" s="48">
        <v>-1176.3399999999999</v>
      </c>
      <c r="D88" s="48">
        <f>IFERROR(VLOOKUP($A88,[1]Consolidated!$A:$G,7,FALSE),0)</f>
        <v>0</v>
      </c>
      <c r="E88" s="48">
        <f>IFERROR(VLOOKUP($A88,[1]Consolidated!$A:$F,6,FALSE),0)</f>
        <v>0</v>
      </c>
      <c r="F88" s="48">
        <f>IFERROR(VLOOKUP($A88,[1]Consolidated!$A:$I,9,FALSE),0)</f>
        <v>0</v>
      </c>
      <c r="G88" s="48"/>
      <c r="H88" s="48">
        <f t="shared" si="2"/>
        <v>-1176.3399999999999</v>
      </c>
    </row>
    <row r="89" spans="1:8" x14ac:dyDescent="0.25">
      <c r="A89" s="37">
        <v>3042</v>
      </c>
      <c r="B89" s="37" t="s">
        <v>113</v>
      </c>
      <c r="C89" s="48">
        <v>152658.68</v>
      </c>
      <c r="D89" s="48">
        <f>IFERROR(VLOOKUP($A89,[1]Consolidated!$A:$G,7,FALSE),0)</f>
        <v>0</v>
      </c>
      <c r="E89" s="48">
        <f>IFERROR(VLOOKUP($A89,[1]Consolidated!$A:$F,6,FALSE),0)</f>
        <v>0</v>
      </c>
      <c r="F89" s="48">
        <f>IFERROR(VLOOKUP($A89,[1]Consolidated!$A:$I,9,FALSE),0)</f>
        <v>0</v>
      </c>
      <c r="G89" s="48"/>
      <c r="H89" s="48">
        <f t="shared" si="2"/>
        <v>152658.68</v>
      </c>
    </row>
    <row r="90" spans="1:8" x14ac:dyDescent="0.25">
      <c r="A90" s="37">
        <v>3045</v>
      </c>
      <c r="B90" s="37" t="s">
        <v>114</v>
      </c>
      <c r="C90" s="48">
        <v>-33159827.300000001</v>
      </c>
      <c r="D90" s="48">
        <f>IFERROR(VLOOKUP($A90,[1]Consolidated!$A:$G,7,FALSE),0)</f>
        <v>0</v>
      </c>
      <c r="E90" s="48">
        <f>IFERROR(VLOOKUP($A90,[1]Consolidated!$A:$F,6,FALSE),0)</f>
        <v>0</v>
      </c>
      <c r="F90" s="48">
        <f>IFERROR(VLOOKUP($A90,[1]Consolidated!$A:$I,9,FALSE),0)</f>
        <v>0</v>
      </c>
      <c r="G90" s="48"/>
      <c r="H90" s="48">
        <f t="shared" si="2"/>
        <v>-33159827.300000001</v>
      </c>
    </row>
    <row r="91" spans="1:8" x14ac:dyDescent="0.25">
      <c r="A91" s="37">
        <v>3046</v>
      </c>
      <c r="B91" s="37" t="s">
        <v>115</v>
      </c>
      <c r="C91" s="48">
        <v>-370.17</v>
      </c>
      <c r="D91" s="48">
        <f>IFERROR(VLOOKUP($A91,[1]Consolidated!$A:$G,7,FALSE),0)</f>
        <v>0</v>
      </c>
      <c r="E91" s="48">
        <f>IFERROR(VLOOKUP($A91,[1]Consolidated!$A:$F,6,FALSE),0)</f>
        <v>0</v>
      </c>
      <c r="F91" s="48">
        <f>IFERROR(VLOOKUP($A91,[1]Consolidated!$A:$I,9,FALSE),0)</f>
        <v>0</v>
      </c>
      <c r="G91" s="48"/>
      <c r="H91" s="48">
        <f t="shared" si="2"/>
        <v>-370.17</v>
      </c>
    </row>
    <row r="92" spans="1:8" x14ac:dyDescent="0.25">
      <c r="A92" s="37">
        <v>3048</v>
      </c>
      <c r="B92" s="37" t="s">
        <v>116</v>
      </c>
      <c r="C92" s="48">
        <v>83723</v>
      </c>
      <c r="D92" s="48">
        <f>IFERROR(VLOOKUP($A92,[1]Consolidated!$A:$G,7,FALSE),0)</f>
        <v>0</v>
      </c>
      <c r="E92" s="48">
        <f>IFERROR(VLOOKUP($A92,[1]Consolidated!$A:$F,6,FALSE),0)</f>
        <v>0</v>
      </c>
      <c r="F92" s="48">
        <f>IFERROR(VLOOKUP($A92,[1]Consolidated!$A:$I,9,FALSE),0)</f>
        <v>0</v>
      </c>
      <c r="G92" s="48"/>
      <c r="H92" s="48">
        <f t="shared" si="2"/>
        <v>83723</v>
      </c>
    </row>
    <row r="93" spans="1:8" x14ac:dyDescent="0.25">
      <c r="A93" s="37">
        <v>3049</v>
      </c>
      <c r="B93" s="37" t="s">
        <v>117</v>
      </c>
      <c r="C93" s="48">
        <v>-55524634.829999998</v>
      </c>
      <c r="D93" s="48">
        <f>IFERROR(VLOOKUP($A93,[1]Consolidated!$A:$G,7,FALSE),0)</f>
        <v>0</v>
      </c>
      <c r="E93" s="48">
        <f>IFERROR(VLOOKUP($A93,[1]Consolidated!$A:$F,6,FALSE),0)</f>
        <v>0</v>
      </c>
      <c r="F93" s="48">
        <f>IFERROR(VLOOKUP($A93,[1]Consolidated!$A:$I,9,FALSE),0)</f>
        <v>0</v>
      </c>
      <c r="G93" s="48"/>
      <c r="H93" s="48">
        <f t="shared" si="2"/>
        <v>-55524634.829999998</v>
      </c>
    </row>
    <row r="94" spans="1:8" x14ac:dyDescent="0.25">
      <c r="A94" s="37">
        <v>3060</v>
      </c>
      <c r="B94" s="37" t="s">
        <v>119</v>
      </c>
      <c r="C94" s="48">
        <v>-12729.27</v>
      </c>
      <c r="D94" s="48">
        <f>IFERROR(VLOOKUP($A94,[1]Consolidated!$A:$G,7,FALSE),0)</f>
        <v>0</v>
      </c>
      <c r="E94" s="48">
        <f>IFERROR(VLOOKUP($A94,[1]Consolidated!$A:$F,6,FALSE),0)</f>
        <v>0</v>
      </c>
      <c r="F94" s="48">
        <f>IFERROR(VLOOKUP($A94,[1]Consolidated!$A:$I,9,FALSE),0)</f>
        <v>0</v>
      </c>
      <c r="G94" s="48"/>
      <c r="H94" s="48">
        <f t="shared" si="2"/>
        <v>-12729.27</v>
      </c>
    </row>
    <row r="95" spans="1:8" x14ac:dyDescent="0.25">
      <c r="A95" s="37">
        <v>3090</v>
      </c>
      <c r="B95" s="37" t="s">
        <v>120</v>
      </c>
      <c r="C95" s="48">
        <v>104153138.15000001</v>
      </c>
      <c r="D95" s="48">
        <f>IFERROR(VLOOKUP($A95,[1]Consolidated!$A:$G,7,FALSE),0)</f>
        <v>0</v>
      </c>
      <c r="E95" s="48">
        <f>IFERROR(VLOOKUP($A95,[1]Consolidated!$A:$F,6,FALSE),0)</f>
        <v>66946.28</v>
      </c>
      <c r="F95" s="48">
        <f>IFERROR(VLOOKUP($A95,[1]Consolidated!$A:$I,9,FALSE),0)</f>
        <v>0</v>
      </c>
      <c r="G95" s="48"/>
      <c r="H95" s="48">
        <f t="shared" si="2"/>
        <v>104220084.43000001</v>
      </c>
    </row>
    <row r="96" spans="1:8" x14ac:dyDescent="0.25">
      <c r="A96" s="37">
        <v>4900</v>
      </c>
      <c r="B96" s="37" t="s">
        <v>369</v>
      </c>
      <c r="C96" s="48">
        <v>-1285</v>
      </c>
      <c r="D96" s="48">
        <f>IFERROR(VLOOKUP($A96,[1]Consolidated!$A:$G,7,FALSE),0)</f>
        <v>0</v>
      </c>
      <c r="E96" s="48">
        <f>IFERROR(VLOOKUP($A96,[1]Consolidated!$A:$F,6,FALSE),0)</f>
        <v>0</v>
      </c>
      <c r="F96" s="48">
        <f>IFERROR(VLOOKUP($A96,[1]Consolidated!$A:$I,9,FALSE),0)</f>
        <v>0</v>
      </c>
      <c r="G96" s="48"/>
      <c r="H96" s="48">
        <f t="shared" si="2"/>
        <v>-1285</v>
      </c>
    </row>
    <row r="97" spans="1:8" x14ac:dyDescent="0.25">
      <c r="A97" s="37">
        <v>5300</v>
      </c>
      <c r="B97" s="37" t="s">
        <v>122</v>
      </c>
      <c r="C97" s="48">
        <v>56012.53</v>
      </c>
      <c r="D97" s="48">
        <f>IFERROR(VLOOKUP($A97,[1]Consolidated!$A:$G,7,FALSE),0)</f>
        <v>0</v>
      </c>
      <c r="E97" s="48">
        <f>IFERROR(VLOOKUP($A97,[1]Consolidated!$A:$F,6,FALSE),0)</f>
        <v>0</v>
      </c>
      <c r="F97" s="48">
        <f>IFERROR(VLOOKUP($A97,[1]Consolidated!$A:$I,9,FALSE),0)</f>
        <v>0</v>
      </c>
      <c r="G97" s="48"/>
      <c r="H97" s="48">
        <f t="shared" si="2"/>
        <v>56012.53</v>
      </c>
    </row>
    <row r="98" spans="1:8" x14ac:dyDescent="0.25">
      <c r="A98" s="37">
        <v>5400</v>
      </c>
      <c r="B98" s="37" t="s">
        <v>123</v>
      </c>
      <c r="C98" s="48">
        <v>5898.56</v>
      </c>
      <c r="D98" s="48">
        <f>IFERROR(VLOOKUP($A98,[1]Consolidated!$A:$G,7,FALSE),0)</f>
        <v>0</v>
      </c>
      <c r="E98" s="48">
        <f>IFERROR(VLOOKUP($A98,[1]Consolidated!$A:$F,6,FALSE),0)</f>
        <v>0</v>
      </c>
      <c r="F98" s="48">
        <f>IFERROR(VLOOKUP($A98,[1]Consolidated!$A:$I,9,FALSE),0)</f>
        <v>0</v>
      </c>
      <c r="G98" s="48"/>
      <c r="H98" s="48">
        <f t="shared" si="2"/>
        <v>5898.56</v>
      </c>
    </row>
    <row r="99" spans="1:8" x14ac:dyDescent="0.25">
      <c r="A99" s="37">
        <v>5600</v>
      </c>
      <c r="B99" s="37" t="s">
        <v>125</v>
      </c>
      <c r="C99" s="48">
        <v>-1677637.76</v>
      </c>
      <c r="D99" s="48">
        <f>IFERROR(VLOOKUP($A99,[1]Consolidated!$A:$G,7,FALSE),0)</f>
        <v>0</v>
      </c>
      <c r="E99" s="48">
        <f>IFERROR(VLOOKUP($A99,[1]Consolidated!$A:$F,6,FALSE),0)</f>
        <v>0</v>
      </c>
      <c r="F99" s="48">
        <f>IFERROR(VLOOKUP($A99,[1]Consolidated!$A:$I,9,FALSE),0)</f>
        <v>0</v>
      </c>
      <c r="G99" s="48"/>
      <c r="H99" s="48">
        <f t="shared" si="2"/>
        <v>-1677637.76</v>
      </c>
    </row>
    <row r="100" spans="1:8" x14ac:dyDescent="0.25">
      <c r="A100" s="37">
        <v>5610</v>
      </c>
      <c r="B100" s="37" t="s">
        <v>370</v>
      </c>
      <c r="C100" s="48">
        <v>529</v>
      </c>
      <c r="D100" s="48">
        <f>IFERROR(VLOOKUP($A100,[1]Consolidated!$A:$G,7,FALSE),0)</f>
        <v>0</v>
      </c>
      <c r="E100" s="48">
        <f>IFERROR(VLOOKUP($A100,[1]Consolidated!$A:$F,6,FALSE),0)</f>
        <v>0</v>
      </c>
      <c r="F100" s="48">
        <f>IFERROR(VLOOKUP($A100,[1]Consolidated!$A:$I,9,FALSE),0)</f>
        <v>0</v>
      </c>
      <c r="G100" s="48"/>
      <c r="H100" s="48">
        <f t="shared" si="2"/>
        <v>529</v>
      </c>
    </row>
    <row r="101" spans="1:8" x14ac:dyDescent="0.25">
      <c r="A101" s="37">
        <v>5700</v>
      </c>
      <c r="B101" s="37" t="s">
        <v>128</v>
      </c>
      <c r="C101" s="48">
        <v>6176</v>
      </c>
      <c r="D101" s="48">
        <f>IFERROR(VLOOKUP($A101,[1]Consolidated!$A:$G,7,FALSE),0)</f>
        <v>0</v>
      </c>
      <c r="E101" s="48">
        <f>IFERROR(VLOOKUP($A101,[1]Consolidated!$A:$F,6,FALSE),0)</f>
        <v>0</v>
      </c>
      <c r="F101" s="48">
        <f>IFERROR(VLOOKUP($A101,[1]Consolidated!$A:$I,9,FALSE),0)</f>
        <v>0</v>
      </c>
      <c r="G101" s="48"/>
      <c r="H101" s="48">
        <f t="shared" si="2"/>
        <v>6176</v>
      </c>
    </row>
    <row r="102" spans="1:8" x14ac:dyDescent="0.25">
      <c r="A102" s="37">
        <v>5730</v>
      </c>
      <c r="B102" s="37" t="s">
        <v>132</v>
      </c>
      <c r="C102" s="48">
        <v>26409.87</v>
      </c>
      <c r="D102" s="48">
        <f>IFERROR(VLOOKUP($A102,[1]Consolidated!$A:$G,7,FALSE),0)</f>
        <v>0</v>
      </c>
      <c r="E102" s="48">
        <f>IFERROR(VLOOKUP($A102,[1]Consolidated!$A:$F,6,FALSE),0)</f>
        <v>0</v>
      </c>
      <c r="F102" s="48">
        <f>IFERROR(VLOOKUP($A102,[1]Consolidated!$A:$I,9,FALSE),0)</f>
        <v>0</v>
      </c>
      <c r="G102" s="48"/>
      <c r="H102" s="48">
        <f t="shared" si="2"/>
        <v>26409.87</v>
      </c>
    </row>
    <row r="103" spans="1:8" x14ac:dyDescent="0.25">
      <c r="A103" s="37">
        <v>5850</v>
      </c>
      <c r="B103" s="37" t="s">
        <v>134</v>
      </c>
      <c r="C103" s="48">
        <v>55379.1</v>
      </c>
      <c r="D103" s="48">
        <f>IFERROR(VLOOKUP($A103,[1]Consolidated!$A:$G,7,FALSE),0)</f>
        <v>0</v>
      </c>
      <c r="E103" s="48">
        <f>IFERROR(VLOOKUP($A103,[1]Consolidated!$A:$F,6,FALSE),0)</f>
        <v>0</v>
      </c>
      <c r="F103" s="48">
        <f>IFERROR(VLOOKUP($A103,[1]Consolidated!$A:$I,9,FALSE),0)</f>
        <v>0</v>
      </c>
      <c r="G103" s="48"/>
      <c r="H103" s="48">
        <f t="shared" si="2"/>
        <v>55379.1</v>
      </c>
    </row>
    <row r="104" spans="1:8" x14ac:dyDescent="0.25">
      <c r="A104" s="37">
        <v>5855</v>
      </c>
      <c r="B104" s="37" t="s">
        <v>135</v>
      </c>
      <c r="C104" s="48">
        <v>-3779.05</v>
      </c>
      <c r="D104" s="48">
        <f>IFERROR(VLOOKUP($A104,[1]Consolidated!$A:$G,7,FALSE),0)</f>
        <v>0</v>
      </c>
      <c r="E104" s="48">
        <f>IFERROR(VLOOKUP($A104,[1]Consolidated!$A:$F,6,FALSE),0)</f>
        <v>0</v>
      </c>
      <c r="F104" s="48">
        <f>IFERROR(VLOOKUP($A104,[1]Consolidated!$A:$I,9,FALSE),0)</f>
        <v>0</v>
      </c>
      <c r="G104" s="48"/>
      <c r="H104" s="48">
        <f t="shared" ref="H104:H135" si="3">SUM(C104:G104)</f>
        <v>-3779.05</v>
      </c>
    </row>
    <row r="105" spans="1:8" x14ac:dyDescent="0.25">
      <c r="A105" s="37">
        <v>5900</v>
      </c>
      <c r="B105" s="37" t="s">
        <v>136</v>
      </c>
      <c r="C105" s="48">
        <v>-18149.55</v>
      </c>
      <c r="D105" s="48">
        <f>IFERROR(VLOOKUP($A105,[1]Consolidated!$A:$G,7,FALSE),0)</f>
        <v>0</v>
      </c>
      <c r="E105" s="48">
        <f>IFERROR(VLOOKUP($A105,[1]Consolidated!$A:$F,6,FALSE),0)</f>
        <v>0</v>
      </c>
      <c r="F105" s="48">
        <f>IFERROR(VLOOKUP($A105,[1]Consolidated!$A:$I,9,FALSE),0)</f>
        <v>0</v>
      </c>
      <c r="G105" s="48"/>
      <c r="H105" s="48">
        <f t="shared" si="3"/>
        <v>-18149.55</v>
      </c>
    </row>
    <row r="106" spans="1:8" x14ac:dyDescent="0.25">
      <c r="A106" s="37">
        <v>5905</v>
      </c>
      <c r="B106" s="37" t="s">
        <v>137</v>
      </c>
      <c r="C106" s="48">
        <v>-24310</v>
      </c>
      <c r="D106" s="48">
        <f>IFERROR(VLOOKUP($A106,[1]Consolidated!$A:$G,7,FALSE),0)</f>
        <v>0</v>
      </c>
      <c r="E106" s="48">
        <f>IFERROR(VLOOKUP($A106,[1]Consolidated!$A:$F,6,FALSE),0)</f>
        <v>0</v>
      </c>
      <c r="F106" s="48">
        <f>IFERROR(VLOOKUP($A106,[1]Consolidated!$A:$I,9,FALSE),0)</f>
        <v>0</v>
      </c>
      <c r="G106" s="48"/>
      <c r="H106" s="48">
        <f t="shared" si="3"/>
        <v>-24310</v>
      </c>
    </row>
    <row r="107" spans="1:8" x14ac:dyDescent="0.25">
      <c r="A107" s="37">
        <v>5998</v>
      </c>
      <c r="B107" s="37" t="s">
        <v>138</v>
      </c>
      <c r="C107" s="48">
        <v>41389.760000000002</v>
      </c>
      <c r="D107" s="48">
        <f>IFERROR(VLOOKUP($A107,[1]Consolidated!$A:$G,7,FALSE),0)</f>
        <v>0</v>
      </c>
      <c r="E107" s="48">
        <f>IFERROR(VLOOKUP($A107,[1]Consolidated!$A:$F,6,FALSE),0)</f>
        <v>0</v>
      </c>
      <c r="F107" s="48">
        <f>IFERROR(VLOOKUP($A107,[1]Consolidated!$A:$I,9,FALSE),0)</f>
        <v>0</v>
      </c>
      <c r="G107" s="48"/>
      <c r="H107" s="48">
        <f t="shared" si="3"/>
        <v>41389.760000000002</v>
      </c>
    </row>
    <row r="108" spans="1:8" x14ac:dyDescent="0.25">
      <c r="A108" s="37">
        <v>5999</v>
      </c>
      <c r="B108" s="37" t="s">
        <v>139</v>
      </c>
      <c r="C108" s="48">
        <v>-55665.79</v>
      </c>
      <c r="D108" s="48">
        <f>IFERROR(VLOOKUP($A108,[1]Consolidated!$A:$G,7,FALSE),0)</f>
        <v>0</v>
      </c>
      <c r="E108" s="48">
        <f>IFERROR(VLOOKUP($A108,[1]Consolidated!$A:$F,6,FALSE),0)</f>
        <v>0</v>
      </c>
      <c r="F108" s="48">
        <f>IFERROR(VLOOKUP($A108,[1]Consolidated!$A:$I,9,FALSE),0)</f>
        <v>0</v>
      </c>
      <c r="G108" s="48"/>
      <c r="H108" s="48">
        <f t="shared" si="3"/>
        <v>-55665.79</v>
      </c>
    </row>
    <row r="109" spans="1:8" x14ac:dyDescent="0.25">
      <c r="A109" s="37">
        <v>6000</v>
      </c>
      <c r="B109" s="37" t="s">
        <v>140</v>
      </c>
      <c r="C109" s="48">
        <v>20182026.760000002</v>
      </c>
      <c r="D109" s="48">
        <f>IFERROR(VLOOKUP($A109,[1]Consolidated!$A:$G,7,FALSE),0)</f>
        <v>0</v>
      </c>
      <c r="E109" s="48">
        <f>IFERROR(VLOOKUP($A109,[1]Consolidated!$A:$F,6,FALSE),0)</f>
        <v>0</v>
      </c>
      <c r="F109" s="48">
        <f>IFERROR(VLOOKUP($A109,[1]Consolidated!$A:$I,9,FALSE),0)</f>
        <v>0</v>
      </c>
      <c r="G109" s="48"/>
      <c r="H109" s="48">
        <f t="shared" si="3"/>
        <v>20182026.760000002</v>
      </c>
    </row>
    <row r="110" spans="1:8" x14ac:dyDescent="0.25">
      <c r="A110" s="37">
        <v>6040</v>
      </c>
      <c r="B110" s="37" t="s">
        <v>141</v>
      </c>
      <c r="C110" s="48">
        <v>433662.84</v>
      </c>
      <c r="D110" s="48">
        <f>IFERROR(VLOOKUP($A110,[1]Consolidated!$A:$G,7,FALSE),0)</f>
        <v>0</v>
      </c>
      <c r="E110" s="48">
        <f>IFERROR(VLOOKUP($A110,[1]Consolidated!$A:$F,6,FALSE),0)</f>
        <v>0</v>
      </c>
      <c r="F110" s="48">
        <f>IFERROR(VLOOKUP($A110,[1]Consolidated!$A:$I,9,FALSE),0)</f>
        <v>0</v>
      </c>
      <c r="G110" s="48"/>
      <c r="H110" s="48">
        <f t="shared" si="3"/>
        <v>433662.84</v>
      </c>
    </row>
    <row r="111" spans="1:8" x14ac:dyDescent="0.25">
      <c r="A111" s="37">
        <v>6045</v>
      </c>
      <c r="B111" s="37" t="s">
        <v>142</v>
      </c>
      <c r="C111" s="48">
        <v>1523276.66</v>
      </c>
      <c r="D111" s="48">
        <f>IFERROR(VLOOKUP($A111,[1]Consolidated!$A:$G,7,FALSE),0)</f>
        <v>0</v>
      </c>
      <c r="E111" s="48">
        <f>IFERROR(VLOOKUP($A111,[1]Consolidated!$A:$F,6,FALSE),0)</f>
        <v>0</v>
      </c>
      <c r="F111" s="48">
        <f>IFERROR(VLOOKUP($A111,[1]Consolidated!$A:$I,9,FALSE),0)</f>
        <v>0</v>
      </c>
      <c r="G111" s="48"/>
      <c r="H111" s="48">
        <f t="shared" si="3"/>
        <v>1523276.66</v>
      </c>
    </row>
    <row r="112" spans="1:8" x14ac:dyDescent="0.25">
      <c r="A112" s="37">
        <v>6065</v>
      </c>
      <c r="B112" s="37" t="s">
        <v>144</v>
      </c>
      <c r="C112" s="48">
        <v>1429985.9</v>
      </c>
      <c r="D112" s="48">
        <f>IFERROR(VLOOKUP($A112,[1]Consolidated!$A:$G,7,FALSE),0)</f>
        <v>0</v>
      </c>
      <c r="E112" s="48">
        <f>IFERROR(VLOOKUP($A112,[1]Consolidated!$A:$F,6,FALSE),0)</f>
        <v>0</v>
      </c>
      <c r="F112" s="48">
        <f>IFERROR(VLOOKUP($A112,[1]Consolidated!$A:$I,9,FALSE),0)</f>
        <v>0</v>
      </c>
      <c r="G112" s="48"/>
      <c r="H112" s="48">
        <f t="shared" si="3"/>
        <v>1429985.9</v>
      </c>
    </row>
    <row r="113" spans="1:8" x14ac:dyDescent="0.25">
      <c r="A113" s="37">
        <v>6070</v>
      </c>
      <c r="B113" s="37" t="s">
        <v>145</v>
      </c>
      <c r="C113" s="48">
        <v>1918951.9</v>
      </c>
      <c r="D113" s="48">
        <f>IFERROR(VLOOKUP($A113,[1]Consolidated!$A:$G,7,FALSE),0)</f>
        <v>0</v>
      </c>
      <c r="E113" s="48">
        <f>IFERROR(VLOOKUP($A113,[1]Consolidated!$A:$F,6,FALSE),0)</f>
        <v>0</v>
      </c>
      <c r="F113" s="48">
        <f>IFERROR(VLOOKUP($A113,[1]Consolidated!$A:$I,9,FALSE),0)</f>
        <v>0</v>
      </c>
      <c r="G113" s="48"/>
      <c r="H113" s="48">
        <f t="shared" si="3"/>
        <v>1918951.9</v>
      </c>
    </row>
    <row r="114" spans="1:8" x14ac:dyDescent="0.25">
      <c r="A114" s="37">
        <v>6080</v>
      </c>
      <c r="B114" s="37" t="s">
        <v>147</v>
      </c>
      <c r="C114" s="48">
        <v>7414</v>
      </c>
      <c r="D114" s="48">
        <f>IFERROR(VLOOKUP($A114,[1]Consolidated!$A:$G,7,FALSE),0)</f>
        <v>0</v>
      </c>
      <c r="E114" s="48">
        <f>IFERROR(VLOOKUP($A114,[1]Consolidated!$A:$F,6,FALSE),0)</f>
        <v>0</v>
      </c>
      <c r="F114" s="48">
        <f>IFERROR(VLOOKUP($A114,[1]Consolidated!$A:$I,9,FALSE),0)</f>
        <v>0</v>
      </c>
      <c r="G114" s="48"/>
      <c r="H114" s="48">
        <f t="shared" si="3"/>
        <v>7414</v>
      </c>
    </row>
    <row r="115" spans="1:8" ht="15.75" thickBot="1" x14ac:dyDescent="0.3">
      <c r="A115" s="37">
        <v>6082</v>
      </c>
      <c r="B115" s="37" t="s">
        <v>371</v>
      </c>
      <c r="C115" s="48">
        <v>9926.83</v>
      </c>
      <c r="D115" s="48">
        <f>IFERROR(VLOOKUP($A115,[1]Consolidated!$A:$G,7,FALSE),0)</f>
        <v>0</v>
      </c>
      <c r="E115" s="48">
        <f>IFERROR(VLOOKUP($A115,[1]Consolidated!$A:$F,6,FALSE),0)</f>
        <v>0</v>
      </c>
      <c r="F115" s="48">
        <f>IFERROR(VLOOKUP($A115,[1]Consolidated!$A:$I,9,FALSE),0)</f>
        <v>0</v>
      </c>
      <c r="G115" s="48"/>
      <c r="H115" s="48">
        <f t="shared" si="3"/>
        <v>9926.83</v>
      </c>
    </row>
    <row r="116" spans="1:8" x14ac:dyDescent="0.25">
      <c r="A116" s="38">
        <v>6083</v>
      </c>
      <c r="B116" s="38" t="s">
        <v>149</v>
      </c>
      <c r="C116" s="49">
        <v>4616.88</v>
      </c>
      <c r="D116" s="48">
        <f>IFERROR(VLOOKUP($A116,[1]Consolidated!$A:$G,7,FALSE),0)</f>
        <v>0</v>
      </c>
      <c r="E116" s="48">
        <f>IFERROR(VLOOKUP($A116,[1]Consolidated!$A:$F,6,FALSE),0)</f>
        <v>0</v>
      </c>
      <c r="F116" s="48">
        <f>IFERROR(VLOOKUP($A116,[1]Consolidated!$A:$I,9,FALSE),0)</f>
        <v>0</v>
      </c>
      <c r="G116" s="50"/>
      <c r="H116" s="48">
        <f t="shared" si="3"/>
        <v>4616.88</v>
      </c>
    </row>
    <row r="117" spans="1:8" x14ac:dyDescent="0.25">
      <c r="A117" s="37">
        <v>6200</v>
      </c>
      <c r="B117" s="37" t="s">
        <v>151</v>
      </c>
      <c r="C117" s="48">
        <v>2860183.65</v>
      </c>
      <c r="D117" s="48">
        <f>IFERROR(VLOOKUP($A117,[1]Consolidated!$A:$G,7,FALSE),0)</f>
        <v>0</v>
      </c>
      <c r="E117" s="48">
        <f>IFERROR(VLOOKUP($A117,[1]Consolidated!$A:$F,6,FALSE),0)</f>
        <v>0</v>
      </c>
      <c r="F117" s="48">
        <f>IFERROR(VLOOKUP($A117,[1]Consolidated!$A:$I,9,FALSE),0)</f>
        <v>0</v>
      </c>
      <c r="G117" s="48"/>
      <c r="H117" s="48">
        <f t="shared" si="3"/>
        <v>2860183.65</v>
      </c>
    </row>
    <row r="118" spans="1:8" x14ac:dyDescent="0.25">
      <c r="A118" s="37">
        <v>6250</v>
      </c>
      <c r="B118" s="37" t="s">
        <v>152</v>
      </c>
      <c r="C118" s="48">
        <v>56250</v>
      </c>
      <c r="D118" s="48">
        <f>IFERROR(VLOOKUP($A118,[1]Consolidated!$A:$G,7,FALSE),0)</f>
        <v>0</v>
      </c>
      <c r="E118" s="48">
        <f>IFERROR(VLOOKUP($A118,[1]Consolidated!$A:$F,6,FALSE),0)</f>
        <v>0</v>
      </c>
      <c r="F118" s="48">
        <f>IFERROR(VLOOKUP($A118,[1]Consolidated!$A:$I,9,FALSE),0)</f>
        <v>0</v>
      </c>
      <c r="G118" s="48"/>
      <c r="H118" s="48">
        <f t="shared" si="3"/>
        <v>56250</v>
      </c>
    </row>
    <row r="119" spans="1:8" x14ac:dyDescent="0.25">
      <c r="A119" s="37">
        <v>6300</v>
      </c>
      <c r="B119" s="37" t="s">
        <v>153</v>
      </c>
      <c r="C119" s="48">
        <v>210221.56</v>
      </c>
      <c r="D119" s="48">
        <f>IFERROR(VLOOKUP($A119,[1]Consolidated!$A:$G,7,FALSE),0)</f>
        <v>0</v>
      </c>
      <c r="E119" s="48">
        <f>IFERROR(VLOOKUP($A119,[1]Consolidated!$A:$F,6,FALSE),0)</f>
        <v>0</v>
      </c>
      <c r="F119" s="48">
        <f>IFERROR(VLOOKUP($A119,[1]Consolidated!$A:$I,9,FALSE),0)</f>
        <v>0</v>
      </c>
      <c r="G119" s="48"/>
      <c r="H119" s="48">
        <f t="shared" si="3"/>
        <v>210221.56</v>
      </c>
    </row>
    <row r="120" spans="1:8" x14ac:dyDescent="0.25">
      <c r="A120" s="37">
        <v>6305</v>
      </c>
      <c r="B120" s="37" t="s">
        <v>154</v>
      </c>
      <c r="C120" s="48">
        <v>3137.37</v>
      </c>
      <c r="D120" s="48">
        <f>IFERROR(VLOOKUP($A120,[1]Consolidated!$A:$G,7,FALSE),0)</f>
        <v>0</v>
      </c>
      <c r="E120" s="48">
        <f>IFERROR(VLOOKUP($A120,[1]Consolidated!$A:$F,6,FALSE),0)</f>
        <v>0</v>
      </c>
      <c r="F120" s="48">
        <f>IFERROR(VLOOKUP($A120,[1]Consolidated!$A:$I,9,FALSE),0)</f>
        <v>0</v>
      </c>
      <c r="G120" s="48"/>
      <c r="H120" s="48">
        <f t="shared" si="3"/>
        <v>3137.37</v>
      </c>
    </row>
    <row r="121" spans="1:8" x14ac:dyDescent="0.25">
      <c r="A121" s="37">
        <v>7100</v>
      </c>
      <c r="B121" s="37" t="s">
        <v>155</v>
      </c>
      <c r="C121" s="48">
        <v>2654369.9500000002</v>
      </c>
      <c r="D121" s="48">
        <f>IFERROR(VLOOKUP($A121,[1]Consolidated!$A:$G,7,FALSE),0)</f>
        <v>0</v>
      </c>
      <c r="E121" s="48">
        <f>IFERROR(VLOOKUP($A121,[1]Consolidated!$A:$F,6,FALSE),0)</f>
        <v>0</v>
      </c>
      <c r="F121" s="48">
        <f>IFERROR(VLOOKUP($A121,[1]Consolidated!$A:$I,9,FALSE),0)</f>
        <v>0</v>
      </c>
      <c r="G121" s="48"/>
      <c r="H121" s="48">
        <f t="shared" si="3"/>
        <v>2654369.9500000002</v>
      </c>
    </row>
    <row r="122" spans="1:8" x14ac:dyDescent="0.25">
      <c r="A122" s="37">
        <v>7150</v>
      </c>
      <c r="B122" s="37" t="s">
        <v>156</v>
      </c>
      <c r="C122" s="48">
        <v>9124.4699999999993</v>
      </c>
      <c r="D122" s="48">
        <f>IFERROR(VLOOKUP($A122,[1]Consolidated!$A:$G,7,FALSE),0)</f>
        <v>0</v>
      </c>
      <c r="E122" s="48">
        <f>IFERROR(VLOOKUP($A122,[1]Consolidated!$A:$F,6,FALSE),0)</f>
        <v>0</v>
      </c>
      <c r="F122" s="48">
        <f>IFERROR(VLOOKUP($A122,[1]Consolidated!$A:$I,9,FALSE),0)</f>
        <v>0</v>
      </c>
      <c r="G122" s="48"/>
      <c r="H122" s="48">
        <f t="shared" si="3"/>
        <v>9124.4699999999993</v>
      </c>
    </row>
    <row r="123" spans="1:8" x14ac:dyDescent="0.25">
      <c r="A123" s="37">
        <v>7500</v>
      </c>
      <c r="B123" s="37" t="s">
        <v>157</v>
      </c>
      <c r="C123" s="48">
        <v>197881.52</v>
      </c>
      <c r="D123" s="48">
        <f>IFERROR(VLOOKUP($A123,[1]Consolidated!$A:$G,7,FALSE),0)</f>
        <v>0</v>
      </c>
      <c r="E123" s="48">
        <f>IFERROR(VLOOKUP($A123,[1]Consolidated!$A:$F,6,FALSE),0)</f>
        <v>0</v>
      </c>
      <c r="F123" s="48">
        <f>IFERROR(VLOOKUP($A123,[1]Consolidated!$A:$I,9,FALSE),0)</f>
        <v>0</v>
      </c>
      <c r="G123" s="48"/>
      <c r="H123" s="48">
        <f t="shared" si="3"/>
        <v>197881.52</v>
      </c>
    </row>
    <row r="124" spans="1:8" x14ac:dyDescent="0.25">
      <c r="A124" s="41">
        <v>7505</v>
      </c>
      <c r="B124" s="41" t="s">
        <v>158</v>
      </c>
      <c r="C124" s="49">
        <v>4407979.96</v>
      </c>
      <c r="D124" s="48">
        <f>IFERROR(VLOOKUP($A124,[1]Consolidated!$A:$G,7,FALSE),0)</f>
        <v>0</v>
      </c>
      <c r="E124" s="48">
        <f>IFERROR(VLOOKUP($A124,[1]Consolidated!$A:$F,6,FALSE),0)</f>
        <v>0</v>
      </c>
      <c r="F124" s="48">
        <f>IFERROR(VLOOKUP($A124,[1]Consolidated!$A:$I,9,FALSE),0)</f>
        <v>0</v>
      </c>
      <c r="G124" s="49"/>
      <c r="H124" s="48">
        <f t="shared" si="3"/>
        <v>4407979.96</v>
      </c>
    </row>
    <row r="125" spans="1:8" x14ac:dyDescent="0.25">
      <c r="A125" s="37">
        <v>7510</v>
      </c>
      <c r="B125" s="37" t="s">
        <v>372</v>
      </c>
      <c r="C125" s="48">
        <v>12900</v>
      </c>
      <c r="D125" s="48">
        <f>IFERROR(VLOOKUP($A125,[1]Consolidated!$A:$G,7,FALSE),0)</f>
        <v>0</v>
      </c>
      <c r="E125" s="48">
        <f>IFERROR(VLOOKUP($A125,[1]Consolidated!$A:$F,6,FALSE),0)</f>
        <v>0</v>
      </c>
      <c r="F125" s="48">
        <f>IFERROR(VLOOKUP($A125,[1]Consolidated!$A:$I,9,FALSE),0)</f>
        <v>0</v>
      </c>
      <c r="G125" s="48"/>
      <c r="H125" s="48">
        <f t="shared" si="3"/>
        <v>12900</v>
      </c>
    </row>
    <row r="126" spans="1:8" x14ac:dyDescent="0.25">
      <c r="A126" s="37">
        <v>7515</v>
      </c>
      <c r="B126" s="37" t="s">
        <v>159</v>
      </c>
      <c r="C126" s="48">
        <v>512710.33</v>
      </c>
      <c r="D126" s="48">
        <f>IFERROR(VLOOKUP($A126,[1]Consolidated!$A:$G,7,FALSE),0)</f>
        <v>0</v>
      </c>
      <c r="E126" s="48">
        <f>IFERROR(VLOOKUP($A126,[1]Consolidated!$A:$F,6,FALSE),0)</f>
        <v>0</v>
      </c>
      <c r="F126" s="48">
        <f>IFERROR(VLOOKUP($A126,[1]Consolidated!$A:$I,9,FALSE),0)</f>
        <v>0</v>
      </c>
      <c r="G126" s="48"/>
      <c r="H126" s="48">
        <f t="shared" si="3"/>
        <v>512710.33</v>
      </c>
    </row>
    <row r="127" spans="1:8" x14ac:dyDescent="0.25">
      <c r="A127" s="37">
        <v>7520</v>
      </c>
      <c r="B127" s="37" t="s">
        <v>160</v>
      </c>
      <c r="C127" s="48">
        <v>132531.73000000001</v>
      </c>
      <c r="D127" s="48">
        <f>IFERROR(VLOOKUP($A127,[1]Consolidated!$A:$G,7,FALSE),0)</f>
        <v>0</v>
      </c>
      <c r="E127" s="48">
        <f>IFERROR(VLOOKUP($A127,[1]Consolidated!$A:$F,6,FALSE),0)</f>
        <v>0</v>
      </c>
      <c r="F127" s="48">
        <f>IFERROR(VLOOKUP($A127,[1]Consolidated!$A:$I,9,FALSE),0)</f>
        <v>0</v>
      </c>
      <c r="G127" s="48"/>
      <c r="H127" s="48">
        <f t="shared" si="3"/>
        <v>132531.73000000001</v>
      </c>
    </row>
    <row r="128" spans="1:8" x14ac:dyDescent="0.25">
      <c r="A128" s="37">
        <v>7525</v>
      </c>
      <c r="B128" s="37" t="s">
        <v>161</v>
      </c>
      <c r="C128" s="48">
        <v>20687.53</v>
      </c>
      <c r="D128" s="48">
        <f>IFERROR(VLOOKUP($A128,[1]Consolidated!$A:$G,7,FALSE),0)</f>
        <v>0</v>
      </c>
      <c r="E128" s="48">
        <f>IFERROR(VLOOKUP($A128,[1]Consolidated!$A:$F,6,FALSE),0)</f>
        <v>0</v>
      </c>
      <c r="F128" s="48">
        <f>IFERROR(VLOOKUP($A128,[1]Consolidated!$A:$I,9,FALSE),0)</f>
        <v>0</v>
      </c>
      <c r="G128" s="48"/>
      <c r="H128" s="48">
        <f t="shared" si="3"/>
        <v>20687.53</v>
      </c>
    </row>
    <row r="129" spans="1:8" x14ac:dyDescent="0.25">
      <c r="A129" s="37">
        <v>7530</v>
      </c>
      <c r="B129" s="37" t="s">
        <v>162</v>
      </c>
      <c r="C129" s="48">
        <v>1811256.43</v>
      </c>
      <c r="D129" s="48">
        <f>IFERROR(VLOOKUP($A129,[1]Consolidated!$A:$G,7,FALSE),0)</f>
        <v>0</v>
      </c>
      <c r="E129" s="48">
        <f>IFERROR(VLOOKUP($A129,[1]Consolidated!$A:$F,6,FALSE),0)</f>
        <v>0</v>
      </c>
      <c r="F129" s="48">
        <f>IFERROR(VLOOKUP($A129,[1]Consolidated!$A:$I,9,FALSE),0)</f>
        <v>0</v>
      </c>
      <c r="G129" s="48"/>
      <c r="H129" s="48">
        <f t="shared" si="3"/>
        <v>1811256.43</v>
      </c>
    </row>
    <row r="130" spans="1:8" x14ac:dyDescent="0.25">
      <c r="A130" s="37">
        <v>7531</v>
      </c>
      <c r="B130" s="37" t="s">
        <v>163</v>
      </c>
      <c r="C130" s="48">
        <v>28200.59</v>
      </c>
      <c r="D130" s="48">
        <f>IFERROR(VLOOKUP($A130,[1]Consolidated!$A:$G,7,FALSE),0)</f>
        <v>0</v>
      </c>
      <c r="E130" s="48">
        <f>IFERROR(VLOOKUP($A130,[1]Consolidated!$A:$F,6,FALSE),0)</f>
        <v>0</v>
      </c>
      <c r="F130" s="48">
        <f>IFERROR(VLOOKUP($A130,[1]Consolidated!$A:$I,9,FALSE),0)</f>
        <v>0</v>
      </c>
      <c r="G130" s="48"/>
      <c r="H130" s="48">
        <f t="shared" si="3"/>
        <v>28200.59</v>
      </c>
    </row>
    <row r="131" spans="1:8" x14ac:dyDescent="0.25">
      <c r="A131" s="37">
        <v>7535</v>
      </c>
      <c r="B131" s="37" t="s">
        <v>165</v>
      </c>
      <c r="C131" s="48">
        <v>10748</v>
      </c>
      <c r="D131" s="48">
        <f>IFERROR(VLOOKUP($A131,[1]Consolidated!$A:$G,7,FALSE),0)</f>
        <v>0</v>
      </c>
      <c r="E131" s="48">
        <f>IFERROR(VLOOKUP($A131,[1]Consolidated!$A:$F,6,FALSE),0)</f>
        <v>0</v>
      </c>
      <c r="F131" s="48">
        <f>IFERROR(VLOOKUP($A131,[1]Consolidated!$A:$I,9,FALSE),0)</f>
        <v>0</v>
      </c>
      <c r="G131" s="48"/>
      <c r="H131" s="48">
        <f t="shared" si="3"/>
        <v>10748</v>
      </c>
    </row>
    <row r="132" spans="1:8" x14ac:dyDescent="0.25">
      <c r="A132" s="37">
        <v>7540</v>
      </c>
      <c r="B132" s="37" t="s">
        <v>373</v>
      </c>
      <c r="C132" s="48">
        <v>90547.199999999997</v>
      </c>
      <c r="D132" s="48">
        <f>IFERROR(VLOOKUP($A132,[1]Consolidated!$A:$G,7,FALSE),0)</f>
        <v>0</v>
      </c>
      <c r="E132" s="48">
        <f>IFERROR(VLOOKUP($A132,[1]Consolidated!$A:$F,6,FALSE),0)</f>
        <v>0</v>
      </c>
      <c r="F132" s="48">
        <f>IFERROR(VLOOKUP($A132,[1]Consolidated!$A:$I,9,FALSE),0)</f>
        <v>0</v>
      </c>
      <c r="G132" s="48"/>
      <c r="H132" s="48">
        <f t="shared" si="3"/>
        <v>90547.199999999997</v>
      </c>
    </row>
    <row r="133" spans="1:8" x14ac:dyDescent="0.25">
      <c r="A133" s="37">
        <v>7545</v>
      </c>
      <c r="B133" s="37" t="s">
        <v>374</v>
      </c>
      <c r="C133" s="48">
        <v>293</v>
      </c>
      <c r="D133" s="48">
        <f>IFERROR(VLOOKUP($A133,[1]Consolidated!$A:$G,7,FALSE),0)</f>
        <v>0</v>
      </c>
      <c r="E133" s="48">
        <f>IFERROR(VLOOKUP($A133,[1]Consolidated!$A:$F,6,FALSE),0)</f>
        <v>0</v>
      </c>
      <c r="F133" s="48">
        <f>IFERROR(VLOOKUP($A133,[1]Consolidated!$A:$I,9,FALSE),0)</f>
        <v>0</v>
      </c>
      <c r="G133" s="48"/>
      <c r="H133" s="48">
        <f t="shared" si="3"/>
        <v>293</v>
      </c>
    </row>
    <row r="134" spans="1:8" x14ac:dyDescent="0.25">
      <c r="A134" s="37">
        <v>7550</v>
      </c>
      <c r="B134" s="37" t="s">
        <v>167</v>
      </c>
      <c r="C134" s="48">
        <v>45859.85</v>
      </c>
      <c r="D134" s="48">
        <f>IFERROR(VLOOKUP($A134,[1]Consolidated!$A:$G,7,FALSE),0)</f>
        <v>0</v>
      </c>
      <c r="E134" s="48">
        <f>IFERROR(VLOOKUP($A134,[1]Consolidated!$A:$F,6,FALSE),0)</f>
        <v>0</v>
      </c>
      <c r="F134" s="48">
        <f>IFERROR(VLOOKUP($A134,[1]Consolidated!$A:$I,9,FALSE),0)</f>
        <v>0</v>
      </c>
      <c r="G134" s="48"/>
      <c r="H134" s="48">
        <f t="shared" si="3"/>
        <v>45859.85</v>
      </c>
    </row>
    <row r="135" spans="1:8" x14ac:dyDescent="0.25">
      <c r="A135" s="37">
        <v>7555</v>
      </c>
      <c r="B135" s="37" t="s">
        <v>168</v>
      </c>
      <c r="C135" s="48">
        <v>87050.49</v>
      </c>
      <c r="D135" s="48">
        <f>IFERROR(VLOOKUP($A135,[1]Consolidated!$A:$G,7,FALSE),0)</f>
        <v>0</v>
      </c>
      <c r="E135" s="48">
        <f>IFERROR(VLOOKUP($A135,[1]Consolidated!$A:$F,6,FALSE),0)</f>
        <v>0</v>
      </c>
      <c r="F135" s="48">
        <f>IFERROR(VLOOKUP($A135,[1]Consolidated!$A:$I,9,FALSE),0)</f>
        <v>0</v>
      </c>
      <c r="G135" s="48"/>
      <c r="H135" s="48">
        <f t="shared" si="3"/>
        <v>87050.49</v>
      </c>
    </row>
    <row r="136" spans="1:8" x14ac:dyDescent="0.25">
      <c r="A136" s="37">
        <v>7561</v>
      </c>
      <c r="B136" s="37" t="s">
        <v>169</v>
      </c>
      <c r="C136" s="48">
        <v>214899.99</v>
      </c>
      <c r="D136" s="48">
        <f>IFERROR(VLOOKUP($A136,[1]Consolidated!$A:$G,7,FALSE),0)</f>
        <v>0</v>
      </c>
      <c r="E136" s="48">
        <f>IFERROR(VLOOKUP($A136,[1]Consolidated!$A:$F,6,FALSE),0)</f>
        <v>0</v>
      </c>
      <c r="F136" s="48">
        <f>IFERROR(VLOOKUP($A136,[1]Consolidated!$A:$I,9,FALSE),0)</f>
        <v>0</v>
      </c>
      <c r="G136" s="48"/>
      <c r="H136" s="48">
        <f t="shared" ref="H136:H167" si="4">SUM(C136:G136)</f>
        <v>214899.99</v>
      </c>
    </row>
    <row r="137" spans="1:8" x14ac:dyDescent="0.25">
      <c r="A137" s="37">
        <v>7800</v>
      </c>
      <c r="B137" s="37" t="s">
        <v>170</v>
      </c>
      <c r="C137" s="48">
        <v>5951323.04</v>
      </c>
      <c r="D137" s="48">
        <f>IFERROR(VLOOKUP($A137,[1]Consolidated!$A:$G,7,FALSE),0)</f>
        <v>0</v>
      </c>
      <c r="E137" s="48">
        <f>IFERROR(VLOOKUP($A137,[1]Consolidated!$A:$F,6,FALSE),0)</f>
        <v>0</v>
      </c>
      <c r="F137" s="48">
        <f>IFERROR(VLOOKUP($A137,[1]Consolidated!$A:$I,9,FALSE),0)</f>
        <v>94273.47</v>
      </c>
      <c r="G137" s="48"/>
      <c r="H137" s="48">
        <f t="shared" si="4"/>
        <v>6045596.5099999998</v>
      </c>
    </row>
    <row r="138" spans="1:8" x14ac:dyDescent="0.25">
      <c r="A138" s="37">
        <v>7805</v>
      </c>
      <c r="B138" s="37" t="s">
        <v>171</v>
      </c>
      <c r="C138" s="48">
        <v>687.08</v>
      </c>
      <c r="D138" s="48">
        <f>IFERROR(VLOOKUP($A138,[1]Consolidated!$A:$G,7,FALSE),0)</f>
        <v>0</v>
      </c>
      <c r="E138" s="48">
        <f>IFERROR(VLOOKUP($A138,[1]Consolidated!$A:$F,6,FALSE),0)</f>
        <v>0</v>
      </c>
      <c r="F138" s="48">
        <f>IFERROR(VLOOKUP($A138,[1]Consolidated!$A:$I,9,FALSE),0)</f>
        <v>0</v>
      </c>
      <c r="G138" s="48"/>
      <c r="H138" s="48">
        <f t="shared" si="4"/>
        <v>687.08</v>
      </c>
    </row>
    <row r="139" spans="1:8" x14ac:dyDescent="0.25">
      <c r="A139" s="37">
        <v>7810</v>
      </c>
      <c r="B139" s="37" t="s">
        <v>375</v>
      </c>
      <c r="C139" s="48">
        <v>22.57</v>
      </c>
      <c r="D139" s="48">
        <f>IFERROR(VLOOKUP($A139,[1]Consolidated!$A:$G,7,FALSE),0)</f>
        <v>0</v>
      </c>
      <c r="E139" s="48">
        <f>IFERROR(VLOOKUP($A139,[1]Consolidated!$A:$F,6,FALSE),0)</f>
        <v>0</v>
      </c>
      <c r="F139" s="48">
        <f>IFERROR(VLOOKUP($A139,[1]Consolidated!$A:$I,9,FALSE),0)</f>
        <v>0</v>
      </c>
      <c r="G139" s="48"/>
      <c r="H139" s="48">
        <f t="shared" si="4"/>
        <v>22.57</v>
      </c>
    </row>
    <row r="140" spans="1:8" x14ac:dyDescent="0.25">
      <c r="A140" s="37">
        <v>7815</v>
      </c>
      <c r="B140" s="37" t="s">
        <v>172</v>
      </c>
      <c r="C140" s="48">
        <v>2000</v>
      </c>
      <c r="D140" s="48">
        <f>IFERROR(VLOOKUP($A140,[1]Consolidated!$A:$G,7,FALSE),0)</f>
        <v>0</v>
      </c>
      <c r="E140" s="48">
        <f>IFERROR(VLOOKUP($A140,[1]Consolidated!$A:$F,6,FALSE),0)</f>
        <v>0</v>
      </c>
      <c r="F140" s="48">
        <f>IFERROR(VLOOKUP($A140,[1]Consolidated!$A:$I,9,FALSE),0)</f>
        <v>0</v>
      </c>
      <c r="G140" s="48"/>
      <c r="H140" s="48">
        <f t="shared" si="4"/>
        <v>2000</v>
      </c>
    </row>
    <row r="141" spans="1:8" x14ac:dyDescent="0.25">
      <c r="A141" s="37">
        <v>7825</v>
      </c>
      <c r="B141" s="37" t="s">
        <v>376</v>
      </c>
      <c r="C141" s="48">
        <v>2496733.59</v>
      </c>
      <c r="D141" s="48">
        <f>IFERROR(VLOOKUP($A141,[1]Consolidated!$A:$G,7,FALSE),0)</f>
        <v>0</v>
      </c>
      <c r="E141" s="48">
        <f>IFERROR(VLOOKUP($A141,[1]Consolidated!$A:$F,6,FALSE),0)</f>
        <v>0</v>
      </c>
      <c r="F141" s="48">
        <f>IFERROR(VLOOKUP($A141,[1]Consolidated!$A:$I,9,FALSE),0)</f>
        <v>0</v>
      </c>
      <c r="G141" s="48"/>
      <c r="H141" s="48">
        <f t="shared" si="4"/>
        <v>2496733.59</v>
      </c>
    </row>
    <row r="142" spans="1:8" x14ac:dyDescent="0.25">
      <c r="A142" s="37">
        <v>7830</v>
      </c>
      <c r="B142" s="37" t="s">
        <v>377</v>
      </c>
      <c r="C142" s="48">
        <v>318217.82</v>
      </c>
      <c r="D142" s="48">
        <f>IFERROR(VLOOKUP($A142,[1]Consolidated!$A:$G,7,FALSE),0)</f>
        <v>0</v>
      </c>
      <c r="E142" s="48">
        <f>IFERROR(VLOOKUP($A142,[1]Consolidated!$A:$F,6,FALSE),0)</f>
        <v>0</v>
      </c>
      <c r="F142" s="48">
        <f>IFERROR(VLOOKUP($A142,[1]Consolidated!$A:$I,9,FALSE),0)</f>
        <v>0</v>
      </c>
      <c r="G142" s="48"/>
      <c r="H142" s="48">
        <f t="shared" si="4"/>
        <v>318217.82</v>
      </c>
    </row>
    <row r="143" spans="1:8" x14ac:dyDescent="0.25">
      <c r="A143" s="37">
        <v>7832</v>
      </c>
      <c r="B143" s="37" t="s">
        <v>378</v>
      </c>
      <c r="C143" s="48">
        <v>4887.9399999999996</v>
      </c>
      <c r="D143" s="48">
        <f>IFERROR(VLOOKUP($A143,[1]Consolidated!$A:$G,7,FALSE),0)</f>
        <v>0</v>
      </c>
      <c r="E143" s="48">
        <f>IFERROR(VLOOKUP($A143,[1]Consolidated!$A:$F,6,FALSE),0)</f>
        <v>0</v>
      </c>
      <c r="F143" s="48">
        <f>IFERROR(VLOOKUP($A143,[1]Consolidated!$A:$I,9,FALSE),0)</f>
        <v>0</v>
      </c>
      <c r="G143" s="48"/>
      <c r="H143" s="48">
        <f t="shared" si="4"/>
        <v>4887.9399999999996</v>
      </c>
    </row>
    <row r="144" spans="1:8" x14ac:dyDescent="0.25">
      <c r="A144" s="37">
        <v>7835</v>
      </c>
      <c r="B144" s="37" t="s">
        <v>379</v>
      </c>
      <c r="C144" s="48">
        <v>31576.01</v>
      </c>
      <c r="D144" s="48">
        <f>IFERROR(VLOOKUP($A144,[1]Consolidated!$A:$G,7,FALSE),0)</f>
        <v>0</v>
      </c>
      <c r="E144" s="48">
        <f>IFERROR(VLOOKUP($A144,[1]Consolidated!$A:$F,6,FALSE),0)</f>
        <v>0</v>
      </c>
      <c r="F144" s="48">
        <f>IFERROR(VLOOKUP($A144,[1]Consolidated!$A:$I,9,FALSE),0)</f>
        <v>0</v>
      </c>
      <c r="G144" s="48"/>
      <c r="H144" s="48">
        <f t="shared" si="4"/>
        <v>31576.01</v>
      </c>
    </row>
    <row r="145" spans="1:8" x14ac:dyDescent="0.25">
      <c r="A145" s="37">
        <v>7840</v>
      </c>
      <c r="B145" s="37" t="s">
        <v>380</v>
      </c>
      <c r="C145" s="48">
        <v>1165443.67</v>
      </c>
      <c r="D145" s="48">
        <f>IFERROR(VLOOKUP($A145,[1]Consolidated!$A:$G,7,FALSE),0)</f>
        <v>0</v>
      </c>
      <c r="E145" s="48">
        <f>IFERROR(VLOOKUP($A145,[1]Consolidated!$A:$F,6,FALSE),0)</f>
        <v>0</v>
      </c>
      <c r="F145" s="48">
        <f>IFERROR(VLOOKUP($A145,[1]Consolidated!$A:$I,9,FALSE),0)</f>
        <v>0</v>
      </c>
      <c r="G145" s="48"/>
      <c r="H145" s="48">
        <f t="shared" si="4"/>
        <v>1165443.67</v>
      </c>
    </row>
    <row r="146" spans="1:8" x14ac:dyDescent="0.25">
      <c r="A146" s="37">
        <v>7845</v>
      </c>
      <c r="B146" s="37" t="s">
        <v>381</v>
      </c>
      <c r="C146" s="48">
        <v>522641.53</v>
      </c>
      <c r="D146" s="48">
        <f>IFERROR(VLOOKUP($A146,[1]Consolidated!$A:$G,7,FALSE),0)</f>
        <v>0</v>
      </c>
      <c r="E146" s="48">
        <f>IFERROR(VLOOKUP($A146,[1]Consolidated!$A:$F,6,FALSE),0)</f>
        <v>0</v>
      </c>
      <c r="F146" s="48">
        <f>IFERROR(VLOOKUP($A146,[1]Consolidated!$A:$I,9,FALSE),0)</f>
        <v>0</v>
      </c>
      <c r="G146" s="48"/>
      <c r="H146" s="48">
        <f t="shared" si="4"/>
        <v>522641.53</v>
      </c>
    </row>
    <row r="147" spans="1:8" x14ac:dyDescent="0.25">
      <c r="A147" s="37">
        <v>7846</v>
      </c>
      <c r="B147" s="37" t="s">
        <v>382</v>
      </c>
      <c r="C147" s="48">
        <v>55379.1</v>
      </c>
      <c r="D147" s="48">
        <f>IFERROR(VLOOKUP($A147,[1]Consolidated!$A:$G,7,FALSE),0)</f>
        <v>0</v>
      </c>
      <c r="E147" s="48">
        <f>IFERROR(VLOOKUP($A147,[1]Consolidated!$A:$F,6,FALSE),0)</f>
        <v>0</v>
      </c>
      <c r="F147" s="48">
        <f>IFERROR(VLOOKUP($A147,[1]Consolidated!$A:$I,9,FALSE),0)</f>
        <v>0</v>
      </c>
      <c r="G147" s="48"/>
      <c r="H147" s="48">
        <f t="shared" si="4"/>
        <v>55379.1</v>
      </c>
    </row>
    <row r="148" spans="1:8" x14ac:dyDescent="0.25">
      <c r="A148" s="37">
        <v>7847</v>
      </c>
      <c r="B148" s="37" t="s">
        <v>383</v>
      </c>
      <c r="C148" s="48">
        <v>8801.08</v>
      </c>
      <c r="D148" s="48">
        <f>IFERROR(VLOOKUP($A148,[1]Consolidated!$A:$G,7,FALSE),0)</f>
        <v>0</v>
      </c>
      <c r="E148" s="48">
        <f>IFERROR(VLOOKUP($A148,[1]Consolidated!$A:$F,6,FALSE),0)</f>
        <v>0</v>
      </c>
      <c r="F148" s="48">
        <f>IFERROR(VLOOKUP($A148,[1]Consolidated!$A:$I,9,FALSE),0)</f>
        <v>0</v>
      </c>
      <c r="G148" s="48"/>
      <c r="H148" s="48">
        <f t="shared" si="4"/>
        <v>8801.08</v>
      </c>
    </row>
    <row r="149" spans="1:8" x14ac:dyDescent="0.25">
      <c r="A149" s="37">
        <v>7850</v>
      </c>
      <c r="B149" s="37" t="s">
        <v>384</v>
      </c>
      <c r="C149" s="48">
        <v>4163.76</v>
      </c>
      <c r="D149" s="48">
        <f>IFERROR(VLOOKUP($A149,[1]Consolidated!$A:$G,7,FALSE),0)</f>
        <v>0</v>
      </c>
      <c r="E149" s="48">
        <f>IFERROR(VLOOKUP($A149,[1]Consolidated!$A:$F,6,FALSE),0)</f>
        <v>0</v>
      </c>
      <c r="F149" s="48">
        <f>IFERROR(VLOOKUP($A149,[1]Consolidated!$A:$I,9,FALSE),0)</f>
        <v>0</v>
      </c>
      <c r="G149" s="48"/>
      <c r="H149" s="48">
        <f t="shared" si="4"/>
        <v>4163.76</v>
      </c>
    </row>
    <row r="150" spans="1:8" x14ac:dyDescent="0.25">
      <c r="A150" s="37">
        <v>7851</v>
      </c>
      <c r="B150" s="37" t="s">
        <v>385</v>
      </c>
      <c r="C150" s="48">
        <v>3640.35</v>
      </c>
      <c r="D150" s="48">
        <f>IFERROR(VLOOKUP($A150,[1]Consolidated!$A:$G,7,FALSE),0)</f>
        <v>0</v>
      </c>
      <c r="E150" s="48">
        <f>IFERROR(VLOOKUP($A150,[1]Consolidated!$A:$F,6,FALSE),0)</f>
        <v>0</v>
      </c>
      <c r="F150" s="48">
        <f>IFERROR(VLOOKUP($A150,[1]Consolidated!$A:$I,9,FALSE),0)</f>
        <v>0</v>
      </c>
      <c r="G150" s="48"/>
      <c r="H150" s="48">
        <f t="shared" si="4"/>
        <v>3640.35</v>
      </c>
    </row>
    <row r="151" spans="1:8" x14ac:dyDescent="0.25">
      <c r="A151" s="37">
        <v>7865</v>
      </c>
      <c r="B151" s="37" t="s">
        <v>386</v>
      </c>
      <c r="C151" s="48">
        <v>335</v>
      </c>
      <c r="D151" s="48">
        <f>IFERROR(VLOOKUP($A151,[1]Consolidated!$A:$G,7,FALSE),0)</f>
        <v>0</v>
      </c>
      <c r="E151" s="48">
        <f>IFERROR(VLOOKUP($A151,[1]Consolidated!$A:$F,6,FALSE),0)</f>
        <v>0</v>
      </c>
      <c r="F151" s="48">
        <f>IFERROR(VLOOKUP($A151,[1]Consolidated!$A:$I,9,FALSE),0)</f>
        <v>0</v>
      </c>
      <c r="G151" s="48"/>
      <c r="H151" s="48">
        <f t="shared" si="4"/>
        <v>335</v>
      </c>
    </row>
    <row r="152" spans="1:8" x14ac:dyDescent="0.25">
      <c r="A152" s="37">
        <v>7870</v>
      </c>
      <c r="B152" s="37" t="s">
        <v>187</v>
      </c>
      <c r="C152" s="48">
        <v>463892.38</v>
      </c>
      <c r="D152" s="48">
        <f>IFERROR(VLOOKUP($A152,[1]Consolidated!$A:$G,7,FALSE),0)</f>
        <v>0</v>
      </c>
      <c r="E152" s="48">
        <f>IFERROR(VLOOKUP($A152,[1]Consolidated!$A:$F,6,FALSE),0)</f>
        <v>0</v>
      </c>
      <c r="F152" s="48">
        <f>IFERROR(VLOOKUP($A152,[1]Consolidated!$A:$I,9,FALSE),0)</f>
        <v>0</v>
      </c>
      <c r="G152" s="48"/>
      <c r="H152" s="48">
        <f t="shared" si="4"/>
        <v>463892.38</v>
      </c>
    </row>
    <row r="153" spans="1:8" x14ac:dyDescent="0.25">
      <c r="A153" s="37">
        <v>7875</v>
      </c>
      <c r="B153" s="37" t="s">
        <v>188</v>
      </c>
      <c r="C153" s="48">
        <v>23832.5</v>
      </c>
      <c r="D153" s="48">
        <f>IFERROR(VLOOKUP($A153,[1]Consolidated!$A:$G,7,FALSE),0)</f>
        <v>0</v>
      </c>
      <c r="E153" s="48">
        <f>IFERROR(VLOOKUP($A153,[1]Consolidated!$A:$F,6,FALSE),0)</f>
        <v>0</v>
      </c>
      <c r="F153" s="48">
        <f>IFERROR(VLOOKUP($A153,[1]Consolidated!$A:$I,9,FALSE),0)</f>
        <v>0</v>
      </c>
      <c r="G153" s="48"/>
      <c r="H153" s="48">
        <f t="shared" si="4"/>
        <v>23832.5</v>
      </c>
    </row>
    <row r="154" spans="1:8" x14ac:dyDescent="0.25">
      <c r="A154" s="37">
        <v>7999</v>
      </c>
      <c r="B154" s="37" t="s">
        <v>189</v>
      </c>
      <c r="C154" s="48">
        <v>-11326.88</v>
      </c>
      <c r="D154" s="48">
        <f>IFERROR(VLOOKUP($A154,[1]Consolidated!$A:$G,7,FALSE),0)</f>
        <v>0</v>
      </c>
      <c r="E154" s="48">
        <f>IFERROR(VLOOKUP($A154,[1]Consolidated!$A:$F,6,FALSE),0)</f>
        <v>0</v>
      </c>
      <c r="F154" s="48">
        <f>IFERROR(VLOOKUP($A154,[1]Consolidated!$A:$I,9,FALSE),0)</f>
        <v>0</v>
      </c>
      <c r="G154" s="48"/>
      <c r="H154" s="48">
        <f t="shared" si="4"/>
        <v>-11326.88</v>
      </c>
    </row>
    <row r="155" spans="1:8" x14ac:dyDescent="0.25">
      <c r="A155" s="37">
        <v>8000</v>
      </c>
      <c r="B155" s="37" t="s">
        <v>387</v>
      </c>
      <c r="C155" s="48">
        <v>32772.14</v>
      </c>
      <c r="D155" s="48">
        <f>IFERROR(VLOOKUP($A155,[1]Consolidated!$A:$G,7,FALSE),0)</f>
        <v>0</v>
      </c>
      <c r="E155" s="48">
        <f>IFERROR(VLOOKUP($A155,[1]Consolidated!$A:$F,6,FALSE),0)</f>
        <v>0</v>
      </c>
      <c r="F155" s="48">
        <f>IFERROR(VLOOKUP($A155,[1]Consolidated!$A:$I,9,FALSE),0)</f>
        <v>0</v>
      </c>
      <c r="G155" s="48"/>
      <c r="H155" s="48">
        <f t="shared" si="4"/>
        <v>32772.14</v>
      </c>
    </row>
    <row r="156" spans="1:8" x14ac:dyDescent="0.25">
      <c r="A156" s="37">
        <v>8015</v>
      </c>
      <c r="B156" s="37" t="s">
        <v>191</v>
      </c>
      <c r="C156" s="48">
        <v>1212276.3</v>
      </c>
      <c r="D156" s="48">
        <f>IFERROR(VLOOKUP($A156,[1]Consolidated!$A:$G,7,FALSE),0)</f>
        <v>0</v>
      </c>
      <c r="E156" s="48">
        <f>IFERROR(VLOOKUP($A156,[1]Consolidated!$A:$F,6,FALSE),0)</f>
        <v>0</v>
      </c>
      <c r="F156" s="48">
        <f>IFERROR(VLOOKUP($A156,[1]Consolidated!$A:$I,9,FALSE),0)</f>
        <v>0</v>
      </c>
      <c r="G156" s="48"/>
      <c r="H156" s="48">
        <f t="shared" si="4"/>
        <v>1212276.3</v>
      </c>
    </row>
    <row r="157" spans="1:8" x14ac:dyDescent="0.25">
      <c r="A157" s="37">
        <v>8025</v>
      </c>
      <c r="B157" s="37" t="s">
        <v>388</v>
      </c>
      <c r="C157" s="48">
        <v>526.52</v>
      </c>
      <c r="D157" s="48">
        <f>IFERROR(VLOOKUP($A157,[1]Consolidated!$A:$G,7,FALSE),0)</f>
        <v>0</v>
      </c>
      <c r="E157" s="48">
        <f>IFERROR(VLOOKUP($A157,[1]Consolidated!$A:$F,6,FALSE),0)</f>
        <v>0</v>
      </c>
      <c r="F157" s="48">
        <f>IFERROR(VLOOKUP($A157,[1]Consolidated!$A:$I,9,FALSE),0)</f>
        <v>0</v>
      </c>
      <c r="G157" s="48"/>
      <c r="H157" s="48">
        <f t="shared" si="4"/>
        <v>526.52</v>
      </c>
    </row>
    <row r="158" spans="1:8" x14ac:dyDescent="0.25">
      <c r="A158" s="37">
        <v>8045</v>
      </c>
      <c r="B158" s="37" t="s">
        <v>195</v>
      </c>
      <c r="C158" s="48">
        <v>3228.72</v>
      </c>
      <c r="D158" s="48">
        <f>IFERROR(VLOOKUP($A158,[1]Consolidated!$A:$G,7,FALSE),0)</f>
        <v>0</v>
      </c>
      <c r="E158" s="48">
        <f>IFERROR(VLOOKUP($A158,[1]Consolidated!$A:$F,6,FALSE),0)</f>
        <v>0</v>
      </c>
      <c r="F158" s="48">
        <f>IFERROR(VLOOKUP($A158,[1]Consolidated!$A:$I,9,FALSE),0)</f>
        <v>0</v>
      </c>
      <c r="G158" s="48"/>
      <c r="H158" s="48">
        <f t="shared" si="4"/>
        <v>3228.72</v>
      </c>
    </row>
    <row r="159" spans="1:8" x14ac:dyDescent="0.25">
      <c r="A159" s="37">
        <v>8046</v>
      </c>
      <c r="B159" s="37" t="s">
        <v>196</v>
      </c>
      <c r="C159" s="48">
        <v>14995</v>
      </c>
      <c r="D159" s="48">
        <f>IFERROR(VLOOKUP($A159,[1]Consolidated!$A:$G,7,FALSE),0)</f>
        <v>0</v>
      </c>
      <c r="E159" s="48">
        <f>IFERROR(VLOOKUP($A159,[1]Consolidated!$A:$F,6,FALSE),0)</f>
        <v>0</v>
      </c>
      <c r="F159" s="48">
        <f>IFERROR(VLOOKUP($A159,[1]Consolidated!$A:$I,9,FALSE),0)</f>
        <v>0</v>
      </c>
      <c r="G159" s="48"/>
      <c r="H159" s="48">
        <f t="shared" si="4"/>
        <v>14995</v>
      </c>
    </row>
    <row r="160" spans="1:8" x14ac:dyDescent="0.25">
      <c r="A160" s="37">
        <v>8050</v>
      </c>
      <c r="B160" s="37" t="s">
        <v>197</v>
      </c>
      <c r="C160" s="48">
        <v>11111.11</v>
      </c>
      <c r="D160" s="48">
        <f>IFERROR(VLOOKUP($A160,[1]Consolidated!$A:$G,7,FALSE),0)</f>
        <v>0</v>
      </c>
      <c r="E160" s="48">
        <f>IFERROR(VLOOKUP($A160,[1]Consolidated!$A:$F,6,FALSE),0)</f>
        <v>0</v>
      </c>
      <c r="F160" s="48">
        <f>IFERROR(VLOOKUP($A160,[1]Consolidated!$A:$I,9,FALSE),0)</f>
        <v>0</v>
      </c>
      <c r="G160" s="48"/>
      <c r="H160" s="48">
        <f t="shared" si="4"/>
        <v>11111.11</v>
      </c>
    </row>
    <row r="161" spans="1:8" x14ac:dyDescent="0.25">
      <c r="A161" s="37">
        <v>8100</v>
      </c>
      <c r="B161" s="37" t="s">
        <v>198</v>
      </c>
      <c r="C161" s="48">
        <v>7181.71</v>
      </c>
      <c r="D161" s="48">
        <f>IFERROR(VLOOKUP($A161,[1]Consolidated!$A:$G,7,FALSE),0)</f>
        <v>0</v>
      </c>
      <c r="E161" s="48">
        <f>IFERROR(VLOOKUP($A161,[1]Consolidated!$A:$F,6,FALSE),0)</f>
        <v>0</v>
      </c>
      <c r="F161" s="48">
        <f>IFERROR(VLOOKUP($A161,[1]Consolidated!$A:$I,9,FALSE),0)</f>
        <v>0</v>
      </c>
      <c r="G161" s="48"/>
      <c r="H161" s="48">
        <f t="shared" si="4"/>
        <v>7181.71</v>
      </c>
    </row>
    <row r="162" spans="1:8" x14ac:dyDescent="0.25">
      <c r="A162" s="37">
        <v>8105</v>
      </c>
      <c r="B162" s="37" t="s">
        <v>389</v>
      </c>
      <c r="C162" s="48">
        <v>100000</v>
      </c>
      <c r="D162" s="48">
        <f>IFERROR(VLOOKUP($A162,[1]Consolidated!$A:$G,7,FALSE),0)</f>
        <v>0</v>
      </c>
      <c r="E162" s="48">
        <f>IFERROR(VLOOKUP($A162,[1]Consolidated!$A:$F,6,FALSE),0)</f>
        <v>0</v>
      </c>
      <c r="F162" s="48">
        <f>IFERROR(VLOOKUP($A162,[1]Consolidated!$A:$I,9,FALSE),0)</f>
        <v>0</v>
      </c>
      <c r="G162" s="48"/>
      <c r="H162" s="48">
        <f t="shared" si="4"/>
        <v>100000</v>
      </c>
    </row>
    <row r="163" spans="1:8" x14ac:dyDescent="0.25">
      <c r="A163" s="37">
        <v>8110</v>
      </c>
      <c r="B163" s="37" t="s">
        <v>199</v>
      </c>
      <c r="C163" s="48">
        <v>25575</v>
      </c>
      <c r="D163" s="48">
        <f>IFERROR(VLOOKUP($A163,[1]Consolidated!$A:$G,7,FALSE),0)</f>
        <v>0</v>
      </c>
      <c r="E163" s="48">
        <f>IFERROR(VLOOKUP($A163,[1]Consolidated!$A:$F,6,FALSE),0)</f>
        <v>0</v>
      </c>
      <c r="F163" s="48">
        <f>IFERROR(VLOOKUP($A163,[1]Consolidated!$A:$I,9,FALSE),0)</f>
        <v>0</v>
      </c>
      <c r="G163" s="48"/>
      <c r="H163" s="48">
        <f t="shared" si="4"/>
        <v>25575</v>
      </c>
    </row>
    <row r="164" spans="1:8" x14ac:dyDescent="0.25">
      <c r="A164" s="37">
        <v>8115</v>
      </c>
      <c r="B164" s="37" t="s">
        <v>200</v>
      </c>
      <c r="C164" s="48">
        <v>158340.45000000001</v>
      </c>
      <c r="D164" s="48">
        <f>IFERROR(VLOOKUP($A164,[1]Consolidated!$A:$G,7,FALSE),0)</f>
        <v>0</v>
      </c>
      <c r="E164" s="48">
        <f>IFERROR(VLOOKUP($A164,[1]Consolidated!$A:$F,6,FALSE),0)</f>
        <v>0</v>
      </c>
      <c r="F164" s="48">
        <f>IFERROR(VLOOKUP($A164,[1]Consolidated!$A:$I,9,FALSE),0)</f>
        <v>0</v>
      </c>
      <c r="G164" s="48"/>
      <c r="H164" s="48">
        <f t="shared" si="4"/>
        <v>158340.45000000001</v>
      </c>
    </row>
    <row r="165" spans="1:8" x14ac:dyDescent="0.25">
      <c r="A165" s="37">
        <v>8117</v>
      </c>
      <c r="B165" s="37" t="s">
        <v>201</v>
      </c>
      <c r="C165" s="48">
        <v>1109811.05</v>
      </c>
      <c r="D165" s="48">
        <f>IFERROR(VLOOKUP($A165,[1]Consolidated!$A:$G,7,FALSE),0)</f>
        <v>0</v>
      </c>
      <c r="E165" s="48">
        <f>IFERROR(VLOOKUP($A165,[1]Consolidated!$A:$F,6,FALSE),0)</f>
        <v>0</v>
      </c>
      <c r="F165" s="48">
        <f>IFERROR(VLOOKUP($A165,[1]Consolidated!$A:$I,9,FALSE),0)</f>
        <v>0</v>
      </c>
      <c r="G165" s="48"/>
      <c r="H165" s="48">
        <f t="shared" si="4"/>
        <v>1109811.05</v>
      </c>
    </row>
    <row r="166" spans="1:8" x14ac:dyDescent="0.25">
      <c r="A166" s="37">
        <v>8120</v>
      </c>
      <c r="B166" s="37" t="s">
        <v>202</v>
      </c>
      <c r="C166" s="48">
        <v>1829174.32</v>
      </c>
      <c r="D166" s="48">
        <f>IFERROR(VLOOKUP($A166,[1]Consolidated!$A:$G,7,FALSE),0)</f>
        <v>0</v>
      </c>
      <c r="E166" s="48">
        <f>IFERROR(VLOOKUP($A166,[1]Consolidated!$A:$F,6,FALSE),0)</f>
        <v>0</v>
      </c>
      <c r="F166" s="48">
        <f>IFERROR(VLOOKUP($A166,[1]Consolidated!$A:$I,9,FALSE),0)</f>
        <v>0</v>
      </c>
      <c r="G166" s="48"/>
      <c r="H166" s="48">
        <f t="shared" si="4"/>
        <v>1829174.32</v>
      </c>
    </row>
    <row r="167" spans="1:8" x14ac:dyDescent="0.25">
      <c r="A167" s="37">
        <v>8125</v>
      </c>
      <c r="B167" s="37" t="s">
        <v>203</v>
      </c>
      <c r="C167" s="48">
        <v>1416019.87</v>
      </c>
      <c r="D167" s="48">
        <f>IFERROR(VLOOKUP($A167,[1]Consolidated!$A:$G,7,FALSE),0)</f>
        <v>0</v>
      </c>
      <c r="E167" s="48">
        <f>IFERROR(VLOOKUP($A167,[1]Consolidated!$A:$F,6,FALSE),0)</f>
        <v>0</v>
      </c>
      <c r="F167" s="48">
        <f>IFERROR(VLOOKUP($A167,[1]Consolidated!$A:$I,9,FALSE),0)</f>
        <v>0</v>
      </c>
      <c r="G167" s="48"/>
      <c r="H167" s="48">
        <f t="shared" si="4"/>
        <v>1416019.87</v>
      </c>
    </row>
    <row r="168" spans="1:8" x14ac:dyDescent="0.25">
      <c r="A168" s="37">
        <v>8130</v>
      </c>
      <c r="B168" s="37" t="s">
        <v>204</v>
      </c>
      <c r="C168" s="48">
        <v>209426.09</v>
      </c>
      <c r="D168" s="48">
        <f>IFERROR(VLOOKUP($A168,[1]Consolidated!$A:$G,7,FALSE),0)</f>
        <v>0</v>
      </c>
      <c r="E168" s="48">
        <f>IFERROR(VLOOKUP($A168,[1]Consolidated!$A:$F,6,FALSE),0)</f>
        <v>0</v>
      </c>
      <c r="F168" s="48">
        <f>IFERROR(VLOOKUP($A168,[1]Consolidated!$A:$I,9,FALSE),0)</f>
        <v>0</v>
      </c>
      <c r="G168" s="48"/>
      <c r="H168" s="48">
        <f t="shared" ref="H168:H196" si="5">SUM(C168:G168)</f>
        <v>209426.09</v>
      </c>
    </row>
    <row r="169" spans="1:8" x14ac:dyDescent="0.25">
      <c r="A169" s="37">
        <v>8132</v>
      </c>
      <c r="B169" s="37" t="s">
        <v>390</v>
      </c>
      <c r="C169" s="48">
        <v>102</v>
      </c>
      <c r="D169" s="48">
        <f>IFERROR(VLOOKUP($A169,[1]Consolidated!$A:$G,7,FALSE),0)</f>
        <v>0</v>
      </c>
      <c r="E169" s="48">
        <f>IFERROR(VLOOKUP($A169,[1]Consolidated!$A:$F,6,FALSE),0)</f>
        <v>0</v>
      </c>
      <c r="F169" s="48">
        <f>IFERROR(VLOOKUP($A169,[1]Consolidated!$A:$I,9,FALSE),0)</f>
        <v>0</v>
      </c>
      <c r="G169" s="48"/>
      <c r="H169" s="48">
        <f t="shared" si="5"/>
        <v>102</v>
      </c>
    </row>
    <row r="170" spans="1:8" x14ac:dyDescent="0.25">
      <c r="A170" s="37">
        <v>8135</v>
      </c>
      <c r="B170" s="37" t="s">
        <v>391</v>
      </c>
      <c r="C170" s="48">
        <v>2655</v>
      </c>
      <c r="D170" s="48">
        <f>IFERROR(VLOOKUP($A170,[1]Consolidated!$A:$G,7,FALSE),0)</f>
        <v>0</v>
      </c>
      <c r="E170" s="48">
        <f>IFERROR(VLOOKUP($A170,[1]Consolidated!$A:$F,6,FALSE),0)</f>
        <v>0</v>
      </c>
      <c r="F170" s="48">
        <f>IFERROR(VLOOKUP($A170,[1]Consolidated!$A:$I,9,FALSE),0)</f>
        <v>0</v>
      </c>
      <c r="G170" s="48"/>
      <c r="H170" s="48">
        <f t="shared" si="5"/>
        <v>2655</v>
      </c>
    </row>
    <row r="171" spans="1:8" x14ac:dyDescent="0.25">
      <c r="A171" s="37">
        <v>8140</v>
      </c>
      <c r="B171" s="37" t="s">
        <v>205</v>
      </c>
      <c r="C171" s="48">
        <v>122760.01</v>
      </c>
      <c r="D171" s="48">
        <f>IFERROR(VLOOKUP($A171,[1]Consolidated!$A:$G,7,FALSE),0)</f>
        <v>0</v>
      </c>
      <c r="E171" s="48">
        <f>IFERROR(VLOOKUP($A171,[1]Consolidated!$A:$F,6,FALSE),0)</f>
        <v>0</v>
      </c>
      <c r="F171" s="48">
        <f>IFERROR(VLOOKUP($A171,[1]Consolidated!$A:$I,9,FALSE),0)</f>
        <v>0</v>
      </c>
      <c r="G171" s="48"/>
      <c r="H171" s="48">
        <f t="shared" si="5"/>
        <v>122760.01</v>
      </c>
    </row>
    <row r="172" spans="1:8" x14ac:dyDescent="0.25">
      <c r="A172" s="37">
        <v>8150</v>
      </c>
      <c r="B172" s="37" t="s">
        <v>206</v>
      </c>
      <c r="C172" s="48">
        <v>2667.9</v>
      </c>
      <c r="D172" s="48">
        <f>IFERROR(VLOOKUP($A172,[1]Consolidated!$A:$G,7,FALSE),0)</f>
        <v>0</v>
      </c>
      <c r="E172" s="48">
        <f>IFERROR(VLOOKUP($A172,[1]Consolidated!$A:$F,6,FALSE),0)</f>
        <v>0</v>
      </c>
      <c r="F172" s="48">
        <f>IFERROR(VLOOKUP($A172,[1]Consolidated!$A:$I,9,FALSE),0)</f>
        <v>0</v>
      </c>
      <c r="G172" s="48"/>
      <c r="H172" s="48">
        <f t="shared" si="5"/>
        <v>2667.9</v>
      </c>
    </row>
    <row r="173" spans="1:8" ht="15.75" thickBot="1" x14ac:dyDescent="0.3">
      <c r="A173" s="37">
        <v>8200</v>
      </c>
      <c r="B173" s="37" t="s">
        <v>207</v>
      </c>
      <c r="C173" s="48">
        <v>126554.95</v>
      </c>
      <c r="D173" s="48">
        <f>IFERROR(VLOOKUP($A173,[1]Consolidated!$A:$G,7,FALSE),0)</f>
        <v>0</v>
      </c>
      <c r="E173" s="48">
        <f>IFERROR(VLOOKUP($A173,[1]Consolidated!$A:$F,6,FALSE),0)</f>
        <v>0</v>
      </c>
      <c r="F173" s="48">
        <f>IFERROR(VLOOKUP($A173,[1]Consolidated!$A:$I,9,FALSE),0)</f>
        <v>0</v>
      </c>
      <c r="G173" s="48"/>
      <c r="H173" s="48">
        <f t="shared" si="5"/>
        <v>126554.95</v>
      </c>
    </row>
    <row r="174" spans="1:8" x14ac:dyDescent="0.25">
      <c r="A174" s="38">
        <v>8205</v>
      </c>
      <c r="B174" s="38" t="s">
        <v>208</v>
      </c>
      <c r="C174" s="49">
        <v>55040.17</v>
      </c>
      <c r="D174" s="48">
        <f>IFERROR(VLOOKUP($A174,[1]Consolidated!$A:$G,7,FALSE),0)</f>
        <v>0</v>
      </c>
      <c r="E174" s="48">
        <f>IFERROR(VLOOKUP($A174,[1]Consolidated!$A:$F,6,FALSE),0)</f>
        <v>0</v>
      </c>
      <c r="F174" s="48">
        <f>IFERROR(VLOOKUP($A174,[1]Consolidated!$A:$I,9,FALSE),0)</f>
        <v>0</v>
      </c>
      <c r="G174" s="50"/>
      <c r="H174" s="48">
        <f t="shared" si="5"/>
        <v>55040.17</v>
      </c>
    </row>
    <row r="175" spans="1:8" x14ac:dyDescent="0.25">
      <c r="A175" s="37">
        <v>8300</v>
      </c>
      <c r="B175" s="37" t="s">
        <v>209</v>
      </c>
      <c r="C175" s="48">
        <v>291985.32</v>
      </c>
      <c r="D175" s="48">
        <f>IFERROR(VLOOKUP($A175,[1]Consolidated!$A:$G,7,FALSE),0)</f>
        <v>0</v>
      </c>
      <c r="E175" s="48">
        <f>IFERROR(VLOOKUP($A175,[1]Consolidated!$A:$F,6,FALSE),0)</f>
        <v>0</v>
      </c>
      <c r="F175" s="48">
        <f>IFERROR(VLOOKUP($A175,[1]Consolidated!$A:$I,9,FALSE),0)</f>
        <v>0</v>
      </c>
      <c r="G175" s="48"/>
      <c r="H175" s="48">
        <f t="shared" si="5"/>
        <v>291985.32</v>
      </c>
    </row>
    <row r="176" spans="1:8" x14ac:dyDescent="0.25">
      <c r="A176" s="37">
        <v>8301</v>
      </c>
      <c r="B176" s="37" t="s">
        <v>210</v>
      </c>
      <c r="C176" s="48">
        <v>175218.38</v>
      </c>
      <c r="D176" s="48">
        <f>IFERROR(VLOOKUP($A176,[1]Consolidated!$A:$G,7,FALSE),0)</f>
        <v>0</v>
      </c>
      <c r="E176" s="48">
        <f>IFERROR(VLOOKUP($A176,[1]Consolidated!$A:$F,6,FALSE),0)</f>
        <v>0</v>
      </c>
      <c r="F176" s="48">
        <f>IFERROR(VLOOKUP($A176,[1]Consolidated!$A:$I,9,FALSE),0)</f>
        <v>0</v>
      </c>
      <c r="G176" s="48"/>
      <c r="H176" s="48">
        <f t="shared" si="5"/>
        <v>175218.38</v>
      </c>
    </row>
    <row r="177" spans="1:8" x14ac:dyDescent="0.25">
      <c r="A177" s="37">
        <v>8302</v>
      </c>
      <c r="B177" s="37" t="s">
        <v>211</v>
      </c>
      <c r="C177" s="48">
        <v>13492.69</v>
      </c>
      <c r="D177" s="48">
        <f>IFERROR(VLOOKUP($A177,[1]Consolidated!$A:$G,7,FALSE),0)</f>
        <v>0</v>
      </c>
      <c r="E177" s="48">
        <f>IFERROR(VLOOKUP($A177,[1]Consolidated!$A:$F,6,FALSE),0)</f>
        <v>0</v>
      </c>
      <c r="F177" s="48">
        <f>IFERROR(VLOOKUP($A177,[1]Consolidated!$A:$I,9,FALSE),0)</f>
        <v>0</v>
      </c>
      <c r="G177" s="48"/>
      <c r="H177" s="48">
        <f t="shared" si="5"/>
        <v>13492.69</v>
      </c>
    </row>
    <row r="178" spans="1:8" x14ac:dyDescent="0.25">
      <c r="A178" s="37">
        <v>8304</v>
      </c>
      <c r="B178" s="37" t="s">
        <v>212</v>
      </c>
      <c r="C178" s="48">
        <v>124895.69</v>
      </c>
      <c r="D178" s="48">
        <f>IFERROR(VLOOKUP($A178,[1]Consolidated!$A:$G,7,FALSE),0)</f>
        <v>0</v>
      </c>
      <c r="E178" s="48">
        <f>IFERROR(VLOOKUP($A178,[1]Consolidated!$A:$F,6,FALSE),0)</f>
        <v>0</v>
      </c>
      <c r="F178" s="48">
        <f>IFERROR(VLOOKUP($A178,[1]Consolidated!$A:$I,9,FALSE),0)</f>
        <v>0</v>
      </c>
      <c r="G178" s="48"/>
      <c r="H178" s="48">
        <f t="shared" si="5"/>
        <v>124895.69</v>
      </c>
    </row>
    <row r="179" spans="1:8" x14ac:dyDescent="0.25">
      <c r="A179" s="37">
        <v>8305</v>
      </c>
      <c r="B179" s="37" t="s">
        <v>392</v>
      </c>
      <c r="C179" s="48">
        <v>442031.88</v>
      </c>
      <c r="D179" s="48">
        <f>IFERROR(VLOOKUP($A179,[1]Consolidated!$A:$G,7,FALSE),0)</f>
        <v>0</v>
      </c>
      <c r="E179" s="48">
        <f>IFERROR(VLOOKUP($A179,[1]Consolidated!$A:$F,6,FALSE),0)</f>
        <v>0</v>
      </c>
      <c r="F179" s="48">
        <f>IFERROR(VLOOKUP($A179,[1]Consolidated!$A:$I,9,FALSE),0)</f>
        <v>0</v>
      </c>
      <c r="G179" s="48"/>
      <c r="H179" s="48">
        <f t="shared" si="5"/>
        <v>442031.88</v>
      </c>
    </row>
    <row r="180" spans="1:8" x14ac:dyDescent="0.25">
      <c r="A180" s="37">
        <v>8307</v>
      </c>
      <c r="B180" s="37" t="s">
        <v>393</v>
      </c>
      <c r="C180" s="48">
        <v>2131.33</v>
      </c>
      <c r="D180" s="48">
        <f>IFERROR(VLOOKUP($A180,[1]Consolidated!$A:$G,7,FALSE),0)</f>
        <v>0</v>
      </c>
      <c r="E180" s="48">
        <f>IFERROR(VLOOKUP($A180,[1]Consolidated!$A:$F,6,FALSE),0)</f>
        <v>0</v>
      </c>
      <c r="F180" s="48">
        <f>IFERROR(VLOOKUP($A180,[1]Consolidated!$A:$I,9,FALSE),0)</f>
        <v>0</v>
      </c>
      <c r="G180" s="48"/>
      <c r="H180" s="48">
        <f t="shared" si="5"/>
        <v>2131.33</v>
      </c>
    </row>
    <row r="181" spans="1:8" x14ac:dyDescent="0.25">
      <c r="A181" s="37">
        <v>8310</v>
      </c>
      <c r="B181" s="37" t="s">
        <v>394</v>
      </c>
      <c r="C181" s="48">
        <v>132385.1</v>
      </c>
      <c r="D181" s="48">
        <f>IFERROR(VLOOKUP($A181,[1]Consolidated!$A:$G,7,FALSE),0)</f>
        <v>0</v>
      </c>
      <c r="E181" s="48">
        <f>IFERROR(VLOOKUP($A181,[1]Consolidated!$A:$F,6,FALSE),0)</f>
        <v>0</v>
      </c>
      <c r="F181" s="48">
        <f>IFERROR(VLOOKUP($A181,[1]Consolidated!$A:$I,9,FALSE),0)</f>
        <v>0</v>
      </c>
      <c r="G181" s="48"/>
      <c r="H181" s="48">
        <f t="shared" si="5"/>
        <v>132385.1</v>
      </c>
    </row>
    <row r="182" spans="1:8" x14ac:dyDescent="0.25">
      <c r="A182" s="37">
        <v>8315</v>
      </c>
      <c r="B182" s="37" t="s">
        <v>395</v>
      </c>
      <c r="C182" s="48">
        <v>191614.24</v>
      </c>
      <c r="D182" s="48">
        <f>IFERROR(VLOOKUP($A182,[1]Consolidated!$A:$G,7,FALSE),0)</f>
        <v>0</v>
      </c>
      <c r="E182" s="48">
        <f>IFERROR(VLOOKUP($A182,[1]Consolidated!$A:$F,6,FALSE),0)</f>
        <v>0</v>
      </c>
      <c r="F182" s="48">
        <f>IFERROR(VLOOKUP($A182,[1]Consolidated!$A:$I,9,FALSE),0)</f>
        <v>0</v>
      </c>
      <c r="G182" s="48"/>
      <c r="H182" s="48">
        <f t="shared" si="5"/>
        <v>191614.24</v>
      </c>
    </row>
    <row r="183" spans="1:8" x14ac:dyDescent="0.25">
      <c r="A183" s="37">
        <v>8401</v>
      </c>
      <c r="B183" s="37" t="s">
        <v>396</v>
      </c>
      <c r="C183" s="48">
        <v>23889.69</v>
      </c>
      <c r="D183" s="48">
        <f>IFERROR(VLOOKUP($A183,[1]Consolidated!$A:$G,7,FALSE),0)</f>
        <v>0</v>
      </c>
      <c r="E183" s="48">
        <f>IFERROR(VLOOKUP($A183,[1]Consolidated!$A:$F,6,FALSE),0)</f>
        <v>0</v>
      </c>
      <c r="F183" s="48">
        <f>IFERROR(VLOOKUP($A183,[1]Consolidated!$A:$I,9,FALSE),0)</f>
        <v>0</v>
      </c>
      <c r="G183" s="48"/>
      <c r="H183" s="48">
        <f t="shared" si="5"/>
        <v>23889.69</v>
      </c>
    </row>
    <row r="184" spans="1:8" x14ac:dyDescent="0.25">
      <c r="A184" s="37">
        <v>8405</v>
      </c>
      <c r="B184" s="37" t="s">
        <v>219</v>
      </c>
      <c r="C184" s="48">
        <v>187777.78</v>
      </c>
      <c r="D184" s="48">
        <f>IFERROR(VLOOKUP($A184,[1]Consolidated!$A:$G,7,FALSE),0)</f>
        <v>0</v>
      </c>
      <c r="E184" s="48">
        <f>IFERROR(VLOOKUP($A184,[1]Consolidated!$A:$F,6,FALSE),0)</f>
        <v>0</v>
      </c>
      <c r="F184" s="48">
        <f>IFERROR(VLOOKUP($A184,[1]Consolidated!$A:$I,9,FALSE),0)</f>
        <v>0</v>
      </c>
      <c r="G184" s="48"/>
      <c r="H184" s="48">
        <f t="shared" si="5"/>
        <v>187777.78</v>
      </c>
    </row>
    <row r="185" spans="1:8" x14ac:dyDescent="0.25">
      <c r="A185" s="37">
        <v>8406</v>
      </c>
      <c r="B185" s="37" t="s">
        <v>220</v>
      </c>
      <c r="C185" s="48">
        <v>65405.55</v>
      </c>
      <c r="D185" s="48">
        <f>IFERROR(VLOOKUP($A185,[1]Consolidated!$A:$G,7,FALSE),0)</f>
        <v>0</v>
      </c>
      <c r="E185" s="48">
        <f>IFERROR(VLOOKUP($A185,[1]Consolidated!$A:$F,6,FALSE),0)</f>
        <v>0</v>
      </c>
      <c r="F185" s="48">
        <f>IFERROR(VLOOKUP($A185,[1]Consolidated!$A:$I,9,FALSE),0)</f>
        <v>0</v>
      </c>
      <c r="G185" s="48"/>
      <c r="H185" s="48">
        <f t="shared" si="5"/>
        <v>65405.55</v>
      </c>
    </row>
    <row r="186" spans="1:8" x14ac:dyDescent="0.25">
      <c r="A186" s="37">
        <v>8410</v>
      </c>
      <c r="B186" s="37" t="s">
        <v>397</v>
      </c>
      <c r="C186" s="48">
        <v>98122.3</v>
      </c>
      <c r="D186" s="48">
        <f>IFERROR(VLOOKUP($A186,[1]Consolidated!$A:$G,7,FALSE),0)</f>
        <v>0</v>
      </c>
      <c r="E186" s="48">
        <f>IFERROR(VLOOKUP($A186,[1]Consolidated!$A:$F,6,FALSE),0)</f>
        <v>0</v>
      </c>
      <c r="F186" s="48">
        <f>IFERROR(VLOOKUP($A186,[1]Consolidated!$A:$I,9,FALSE),0)</f>
        <v>0</v>
      </c>
      <c r="G186" s="48"/>
      <c r="H186" s="48">
        <f t="shared" si="5"/>
        <v>98122.3</v>
      </c>
    </row>
    <row r="187" spans="1:8" x14ac:dyDescent="0.25">
      <c r="A187" s="37">
        <v>8415</v>
      </c>
      <c r="B187" s="37" t="s">
        <v>223</v>
      </c>
      <c r="C187" s="48">
        <v>131358.66</v>
      </c>
      <c r="D187" s="48">
        <f>IFERROR(VLOOKUP($A187,[1]Consolidated!$A:$G,7,FALSE),0)</f>
        <v>0</v>
      </c>
      <c r="E187" s="48">
        <f>IFERROR(VLOOKUP($A187,[1]Consolidated!$A:$F,6,FALSE),0)</f>
        <v>0</v>
      </c>
      <c r="F187" s="48">
        <f>IFERROR(VLOOKUP($A187,[1]Consolidated!$A:$I,9,FALSE),0)</f>
        <v>0</v>
      </c>
      <c r="G187" s="48"/>
      <c r="H187" s="48">
        <f t="shared" si="5"/>
        <v>131358.66</v>
      </c>
    </row>
    <row r="188" spans="1:8" x14ac:dyDescent="0.25">
      <c r="A188" s="37">
        <v>8420</v>
      </c>
      <c r="B188" s="37" t="s">
        <v>398</v>
      </c>
      <c r="C188" s="48">
        <v>95563.06</v>
      </c>
      <c r="D188" s="48">
        <f>IFERROR(VLOOKUP($A188,[1]Consolidated!$A:$G,7,FALSE),0)</f>
        <v>0</v>
      </c>
      <c r="E188" s="48">
        <f>IFERROR(VLOOKUP($A188,[1]Consolidated!$A:$F,6,FALSE),0)</f>
        <v>0</v>
      </c>
      <c r="F188" s="48">
        <f>IFERROR(VLOOKUP($A188,[1]Consolidated!$A:$I,9,FALSE),0)</f>
        <v>0</v>
      </c>
      <c r="G188" s="48"/>
      <c r="H188" s="48">
        <f t="shared" si="5"/>
        <v>95563.06</v>
      </c>
    </row>
    <row r="189" spans="1:8" x14ac:dyDescent="0.25">
      <c r="A189" s="41">
        <v>8425</v>
      </c>
      <c r="B189" s="41" t="s">
        <v>225</v>
      </c>
      <c r="C189" s="49">
        <v>241507.56</v>
      </c>
      <c r="D189" s="48">
        <f>IFERROR(VLOOKUP($A189,[1]Consolidated!$A:$G,7,FALSE),0)</f>
        <v>0</v>
      </c>
      <c r="E189" s="48">
        <f>IFERROR(VLOOKUP($A189,[1]Consolidated!$A:$F,6,FALSE),0)</f>
        <v>0</v>
      </c>
      <c r="F189" s="48">
        <f>IFERROR(VLOOKUP($A189,[1]Consolidated!$A:$I,9,FALSE),0)</f>
        <v>0</v>
      </c>
      <c r="G189" s="49"/>
      <c r="H189" s="48">
        <f t="shared" si="5"/>
        <v>241507.56</v>
      </c>
    </row>
    <row r="190" spans="1:8" x14ac:dyDescent="0.25">
      <c r="A190" s="37">
        <v>8430</v>
      </c>
      <c r="B190" s="37" t="s">
        <v>226</v>
      </c>
      <c r="C190" s="48">
        <v>79242.3</v>
      </c>
      <c r="D190" s="48">
        <f>IFERROR(VLOOKUP($A190,[1]Consolidated!$A:$G,7,FALSE),0)</f>
        <v>0</v>
      </c>
      <c r="E190" s="48">
        <f>IFERROR(VLOOKUP($A190,[1]Consolidated!$A:$F,6,FALSE),0)</f>
        <v>0</v>
      </c>
      <c r="F190" s="48">
        <f>IFERROR(VLOOKUP($A190,[1]Consolidated!$A:$I,9,FALSE),0)</f>
        <v>0</v>
      </c>
      <c r="G190" s="48"/>
      <c r="H190" s="48">
        <f t="shared" si="5"/>
        <v>79242.3</v>
      </c>
    </row>
    <row r="191" spans="1:8" x14ac:dyDescent="0.25">
      <c r="A191" s="37">
        <v>8500</v>
      </c>
      <c r="B191" s="37" t="s">
        <v>227</v>
      </c>
      <c r="C191" s="48">
        <v>65755.7</v>
      </c>
      <c r="D191" s="48">
        <f>IFERROR(VLOOKUP($A191,[1]Consolidated!$A:$G,7,FALSE),0)</f>
        <v>0</v>
      </c>
      <c r="E191" s="48">
        <f>IFERROR(VLOOKUP($A191,[1]Consolidated!$A:$F,6,FALSE),0)</f>
        <v>0</v>
      </c>
      <c r="F191" s="48">
        <f>IFERROR(VLOOKUP($A191,[1]Consolidated!$A:$I,9,FALSE),0)</f>
        <v>0</v>
      </c>
      <c r="G191" s="48"/>
      <c r="H191" s="48">
        <f t="shared" si="5"/>
        <v>65755.7</v>
      </c>
    </row>
    <row r="192" spans="1:8" x14ac:dyDescent="0.25">
      <c r="A192" s="37">
        <v>8505</v>
      </c>
      <c r="B192" s="37" t="s">
        <v>399</v>
      </c>
      <c r="C192" s="48">
        <v>796875.23</v>
      </c>
      <c r="D192" s="48">
        <f>IFERROR(VLOOKUP($A192,[1]Consolidated!$A:$G,7,FALSE),0)</f>
        <v>0</v>
      </c>
      <c r="E192" s="48">
        <f>IFERROR(VLOOKUP($A192,[1]Consolidated!$A:$F,6,FALSE),0)</f>
        <v>0</v>
      </c>
      <c r="F192" s="48">
        <f>IFERROR(VLOOKUP($A192,[1]Consolidated!$A:$I,9,FALSE),0)</f>
        <v>0</v>
      </c>
      <c r="G192" s="48"/>
      <c r="H192" s="48">
        <f t="shared" si="5"/>
        <v>796875.23</v>
      </c>
    </row>
    <row r="193" spans="1:8" x14ac:dyDescent="0.25">
      <c r="A193" s="37">
        <v>8550</v>
      </c>
      <c r="B193" s="37" t="s">
        <v>229</v>
      </c>
      <c r="C193" s="48">
        <v>35162.400000000001</v>
      </c>
      <c r="D193" s="48">
        <f>IFERROR(VLOOKUP($A193,[1]Consolidated!$A:$G,7,FALSE),0)</f>
        <v>0</v>
      </c>
      <c r="E193" s="48">
        <f>IFERROR(VLOOKUP($A193,[1]Consolidated!$A:$F,6,FALSE),0)</f>
        <v>0</v>
      </c>
      <c r="F193" s="48">
        <f>IFERROR(VLOOKUP($A193,[1]Consolidated!$A:$I,9,FALSE),0)</f>
        <v>0</v>
      </c>
      <c r="G193" s="48"/>
      <c r="H193" s="48">
        <f t="shared" si="5"/>
        <v>35162.400000000001</v>
      </c>
    </row>
    <row r="194" spans="1:8" x14ac:dyDescent="0.25">
      <c r="A194" s="37">
        <v>8600</v>
      </c>
      <c r="B194" s="37" t="s">
        <v>231</v>
      </c>
      <c r="C194" s="48">
        <v>141091.19</v>
      </c>
      <c r="D194" s="48">
        <f>IFERROR(VLOOKUP($A194,[1]Consolidated!$A:$G,7,FALSE),0)</f>
        <v>0</v>
      </c>
      <c r="E194" s="48">
        <f>IFERROR(VLOOKUP($A194,[1]Consolidated!$A:$F,6,FALSE),0)</f>
        <v>0</v>
      </c>
      <c r="F194" s="48">
        <f>IFERROR(VLOOKUP($A194,[1]Consolidated!$A:$I,9,FALSE),0)</f>
        <v>0</v>
      </c>
      <c r="G194" s="48"/>
      <c r="H194" s="48">
        <f t="shared" si="5"/>
        <v>141091.19</v>
      </c>
    </row>
    <row r="195" spans="1:8" x14ac:dyDescent="0.25">
      <c r="A195" s="37">
        <v>8601</v>
      </c>
      <c r="B195" s="37" t="s">
        <v>232</v>
      </c>
      <c r="C195" s="48">
        <v>43682.06</v>
      </c>
      <c r="D195" s="48">
        <f>IFERROR(VLOOKUP($A195,[1]Consolidated!$A:$G,7,FALSE),0)</f>
        <v>0</v>
      </c>
      <c r="E195" s="48">
        <f>IFERROR(VLOOKUP($A195,[1]Consolidated!$A:$F,6,FALSE),0)</f>
        <v>0</v>
      </c>
      <c r="F195" s="48">
        <f>IFERROR(VLOOKUP($A195,[1]Consolidated!$A:$I,9,FALSE),0)</f>
        <v>0</v>
      </c>
      <c r="G195" s="48"/>
      <c r="H195" s="48">
        <f t="shared" si="5"/>
        <v>43682.06</v>
      </c>
    </row>
    <row r="196" spans="1:8" x14ac:dyDescent="0.25">
      <c r="A196" s="37">
        <v>8605</v>
      </c>
      <c r="B196" s="37" t="s">
        <v>233</v>
      </c>
      <c r="C196" s="48">
        <v>29294.17</v>
      </c>
      <c r="D196" s="48">
        <f>IFERROR(VLOOKUP($A196,[1]Consolidated!$A:$G,7,FALSE),0)</f>
        <v>0</v>
      </c>
      <c r="E196" s="48">
        <f>IFERROR(VLOOKUP($A196,[1]Consolidated!$A:$F,6,FALSE),0)</f>
        <v>0</v>
      </c>
      <c r="F196" s="48">
        <f>IFERROR(VLOOKUP($A196,[1]Consolidated!$A:$I,9,FALSE),0)</f>
        <v>0</v>
      </c>
      <c r="G196" s="48"/>
      <c r="H196" s="48">
        <f t="shared" si="5"/>
        <v>29294.17</v>
      </c>
    </row>
    <row r="197" spans="1:8" x14ac:dyDescent="0.25">
      <c r="A197" s="37">
        <v>8607</v>
      </c>
      <c r="B197" s="37" t="s">
        <v>234</v>
      </c>
      <c r="C197" s="48">
        <v>45509.83</v>
      </c>
      <c r="D197" s="48">
        <f>IFERROR(VLOOKUP($A197,[1]Consolidated!$A:$G,7,FALSE),0)</f>
        <v>0</v>
      </c>
      <c r="E197" s="48">
        <f>IFERROR(VLOOKUP($A197,[1]Consolidated!$A:$F,6,FALSE),0)</f>
        <v>0</v>
      </c>
      <c r="F197" s="48">
        <f>IFERROR(VLOOKUP($A197,[1]Consolidated!$A:$I,9,FALSE),0)</f>
        <v>0</v>
      </c>
      <c r="G197" s="48"/>
      <c r="H197" s="48">
        <f t="shared" ref="H197:H218" si="6">SUM(C197:G197)</f>
        <v>45509.83</v>
      </c>
    </row>
    <row r="198" spans="1:8" x14ac:dyDescent="0.25">
      <c r="A198" s="37">
        <v>8610</v>
      </c>
      <c r="B198" s="37" t="s">
        <v>235</v>
      </c>
      <c r="C198" s="48">
        <v>6426.22</v>
      </c>
      <c r="D198" s="48">
        <f>IFERROR(VLOOKUP($A198,[1]Consolidated!$A:$G,7,FALSE),0)</f>
        <v>0</v>
      </c>
      <c r="E198" s="48">
        <f>IFERROR(VLOOKUP($A198,[1]Consolidated!$A:$F,6,FALSE),0)</f>
        <v>0</v>
      </c>
      <c r="F198" s="48">
        <f>IFERROR(VLOOKUP($A198,[1]Consolidated!$A:$I,9,FALSE),0)</f>
        <v>0</v>
      </c>
      <c r="G198" s="48"/>
      <c r="H198" s="48">
        <f t="shared" si="6"/>
        <v>6426.22</v>
      </c>
    </row>
    <row r="199" spans="1:8" x14ac:dyDescent="0.25">
      <c r="A199" s="37">
        <v>8615</v>
      </c>
      <c r="B199" s="37" t="s">
        <v>236</v>
      </c>
      <c r="C199" s="48">
        <v>1520.34</v>
      </c>
      <c r="D199" s="48">
        <f>IFERROR(VLOOKUP($A199,[1]Consolidated!$A:$G,7,FALSE),0)</f>
        <v>0</v>
      </c>
      <c r="E199" s="48">
        <f>IFERROR(VLOOKUP($A199,[1]Consolidated!$A:$F,6,FALSE),0)</f>
        <v>0</v>
      </c>
      <c r="F199" s="48">
        <f>IFERROR(VLOOKUP($A199,[1]Consolidated!$A:$I,9,FALSE),0)</f>
        <v>0</v>
      </c>
      <c r="G199" s="48"/>
      <c r="H199" s="48">
        <f t="shared" si="6"/>
        <v>1520.34</v>
      </c>
    </row>
    <row r="200" spans="1:8" x14ac:dyDescent="0.25">
      <c r="A200" s="37">
        <v>8710</v>
      </c>
      <c r="B200" s="37" t="s">
        <v>238</v>
      </c>
      <c r="C200" s="48">
        <v>38357.120000000003</v>
      </c>
      <c r="D200" s="48">
        <f>IFERROR(VLOOKUP($A200,[1]Consolidated!$A:$G,7,FALSE),0)</f>
        <v>0</v>
      </c>
      <c r="E200" s="48">
        <f>IFERROR(VLOOKUP($A200,[1]Consolidated!$A:$F,6,FALSE),0)</f>
        <v>0</v>
      </c>
      <c r="F200" s="48">
        <f>IFERROR(VLOOKUP($A200,[1]Consolidated!$A:$I,9,FALSE),0)</f>
        <v>0</v>
      </c>
      <c r="G200" s="48"/>
      <c r="H200" s="48">
        <f t="shared" si="6"/>
        <v>38357.120000000003</v>
      </c>
    </row>
    <row r="201" spans="1:8" x14ac:dyDescent="0.25">
      <c r="A201" s="37">
        <v>8715</v>
      </c>
      <c r="B201" s="37" t="s">
        <v>239</v>
      </c>
      <c r="C201" s="48">
        <v>1000</v>
      </c>
      <c r="D201" s="48">
        <f>IFERROR(VLOOKUP($A201,[1]Consolidated!$A:$G,7,FALSE),0)</f>
        <v>0</v>
      </c>
      <c r="E201" s="48">
        <f>IFERROR(VLOOKUP($A201,[1]Consolidated!$A:$F,6,FALSE),0)</f>
        <v>0</v>
      </c>
      <c r="F201" s="48">
        <f>IFERROR(VLOOKUP($A201,[1]Consolidated!$A:$I,9,FALSE),0)</f>
        <v>0</v>
      </c>
      <c r="G201" s="48"/>
      <c r="H201" s="48">
        <f t="shared" si="6"/>
        <v>1000</v>
      </c>
    </row>
    <row r="202" spans="1:8" x14ac:dyDescent="0.25">
      <c r="A202" s="37">
        <v>8720</v>
      </c>
      <c r="B202" s="37" t="s">
        <v>240</v>
      </c>
      <c r="C202" s="48">
        <v>80129.83</v>
      </c>
      <c r="D202" s="48">
        <f>IFERROR(VLOOKUP($A202,[1]Consolidated!$A:$G,7,FALSE),0)</f>
        <v>0</v>
      </c>
      <c r="E202" s="48">
        <f>IFERROR(VLOOKUP($A202,[1]Consolidated!$A:$F,6,FALSE),0)</f>
        <v>0</v>
      </c>
      <c r="F202" s="48">
        <f>IFERROR(VLOOKUP($A202,[1]Consolidated!$A:$I,9,FALSE),0)</f>
        <v>0</v>
      </c>
      <c r="G202" s="48"/>
      <c r="H202" s="48">
        <f t="shared" si="6"/>
        <v>80129.83</v>
      </c>
    </row>
    <row r="203" spans="1:8" x14ac:dyDescent="0.25">
      <c r="A203" s="37">
        <v>8725</v>
      </c>
      <c r="B203" s="37" t="s">
        <v>241</v>
      </c>
      <c r="C203" s="48">
        <v>471453.51</v>
      </c>
      <c r="D203" s="48">
        <f>IFERROR(VLOOKUP($A203,[1]Consolidated!$A:$G,7,FALSE),0)</f>
        <v>0</v>
      </c>
      <c r="E203" s="48">
        <f>IFERROR(VLOOKUP($A203,[1]Consolidated!$A:$F,6,FALSE),0)</f>
        <v>0</v>
      </c>
      <c r="F203" s="48">
        <f>IFERROR(VLOOKUP($A203,[1]Consolidated!$A:$I,9,FALSE),0)</f>
        <v>0</v>
      </c>
      <c r="G203" s="48"/>
      <c r="H203" s="48">
        <f t="shared" si="6"/>
        <v>471453.51</v>
      </c>
    </row>
    <row r="204" spans="1:8" x14ac:dyDescent="0.25">
      <c r="A204" s="37">
        <v>8800</v>
      </c>
      <c r="B204" s="37" t="s">
        <v>242</v>
      </c>
      <c r="C204" s="48">
        <v>855721.3</v>
      </c>
      <c r="D204" s="48">
        <f>IFERROR(VLOOKUP($A204,[1]Consolidated!$A:$G,7,FALSE),0)</f>
        <v>0</v>
      </c>
      <c r="E204" s="48">
        <f>IFERROR(VLOOKUP($A204,[1]Consolidated!$A:$F,6,FALSE),0)</f>
        <v>0</v>
      </c>
      <c r="F204" s="48">
        <f>IFERROR(VLOOKUP($A204,[1]Consolidated!$A:$I,9,FALSE),0)</f>
        <v>0</v>
      </c>
      <c r="G204" s="48"/>
      <c r="H204" s="48">
        <f t="shared" si="6"/>
        <v>855721.3</v>
      </c>
    </row>
    <row r="205" spans="1:8" x14ac:dyDescent="0.25">
      <c r="A205" s="37">
        <v>8805</v>
      </c>
      <c r="B205" s="37" t="s">
        <v>243</v>
      </c>
      <c r="C205" s="48">
        <v>39345.89</v>
      </c>
      <c r="D205" s="48">
        <f>IFERROR(VLOOKUP($A205,[1]Consolidated!$A:$G,7,FALSE),0)</f>
        <v>0</v>
      </c>
      <c r="E205" s="48">
        <f>IFERROR(VLOOKUP($A205,[1]Consolidated!$A:$F,6,FALSE),0)</f>
        <v>0</v>
      </c>
      <c r="F205" s="48">
        <f>IFERROR(VLOOKUP($A205,[1]Consolidated!$A:$I,9,FALSE),0)</f>
        <v>0</v>
      </c>
      <c r="G205" s="48"/>
      <c r="H205" s="48">
        <f t="shared" si="6"/>
        <v>39345.89</v>
      </c>
    </row>
    <row r="206" spans="1:8" x14ac:dyDescent="0.25">
      <c r="A206" s="37">
        <v>8810</v>
      </c>
      <c r="B206" s="37" t="s">
        <v>244</v>
      </c>
      <c r="C206" s="48">
        <v>693.6</v>
      </c>
      <c r="D206" s="48">
        <f>IFERROR(VLOOKUP($A206,[1]Consolidated!$A:$G,7,FALSE),0)</f>
        <v>0</v>
      </c>
      <c r="E206" s="48">
        <f>IFERROR(VLOOKUP($A206,[1]Consolidated!$A:$F,6,FALSE),0)</f>
        <v>0</v>
      </c>
      <c r="F206" s="48">
        <f>IFERROR(VLOOKUP($A206,[1]Consolidated!$A:$I,9,FALSE),0)</f>
        <v>0</v>
      </c>
      <c r="G206" s="48"/>
      <c r="H206" s="48">
        <f t="shared" si="6"/>
        <v>693.6</v>
      </c>
    </row>
    <row r="207" spans="1:8" x14ac:dyDescent="0.25">
      <c r="A207" s="37">
        <v>8899</v>
      </c>
      <c r="B207" s="37" t="s">
        <v>245</v>
      </c>
      <c r="C207" s="48">
        <v>6865924.0099999998</v>
      </c>
      <c r="D207" s="48">
        <f>IFERROR(VLOOKUP($A207,[1]Consolidated!$A:$G,7,FALSE),0)</f>
        <v>0</v>
      </c>
      <c r="E207" s="48">
        <f>IFERROR(VLOOKUP($A207,[1]Consolidated!$A:$F,6,FALSE),0)</f>
        <v>0</v>
      </c>
      <c r="F207" s="48">
        <f>IFERROR(VLOOKUP($A207,[1]Consolidated!$A:$I,9,FALSE),0)</f>
        <v>0</v>
      </c>
      <c r="G207" s="48"/>
      <c r="H207" s="48">
        <f t="shared" si="6"/>
        <v>6865924.0099999998</v>
      </c>
    </row>
    <row r="208" spans="1:8" x14ac:dyDescent="0.25">
      <c r="A208" s="37">
        <v>8900</v>
      </c>
      <c r="B208" s="37" t="s">
        <v>400</v>
      </c>
      <c r="C208" s="48">
        <v>-5004643.04</v>
      </c>
      <c r="D208" s="48">
        <f>IFERROR(VLOOKUP($A208,[1]Consolidated!$A:$G,7,FALSE),0)</f>
        <v>0</v>
      </c>
      <c r="E208" s="48">
        <f>IFERROR(VLOOKUP($A208,[1]Consolidated!$A:$F,6,FALSE),0)</f>
        <v>0</v>
      </c>
      <c r="F208" s="48">
        <f>IFERROR(VLOOKUP($A208,[1]Consolidated!$A:$I,9,FALSE),0)</f>
        <v>0</v>
      </c>
      <c r="G208" s="48"/>
      <c r="H208" s="48">
        <f t="shared" si="6"/>
        <v>-5004643.04</v>
      </c>
    </row>
    <row r="209" spans="1:8" x14ac:dyDescent="0.25">
      <c r="A209" s="37">
        <v>8905</v>
      </c>
      <c r="B209" s="37" t="s">
        <v>401</v>
      </c>
      <c r="C209" s="48">
        <v>5004643.04</v>
      </c>
      <c r="D209" s="48">
        <f>IFERROR(VLOOKUP($A209,[1]Consolidated!$A:$G,7,FALSE),0)</f>
        <v>0</v>
      </c>
      <c r="E209" s="48">
        <f>IFERROR(VLOOKUP($A209,[1]Consolidated!$A:$F,6,FALSE),0)</f>
        <v>0</v>
      </c>
      <c r="F209" s="48">
        <f>IFERROR(VLOOKUP($A209,[1]Consolidated!$A:$I,9,FALSE),0)</f>
        <v>0</v>
      </c>
      <c r="G209" s="48"/>
      <c r="H209" s="48">
        <f t="shared" si="6"/>
        <v>5004643.04</v>
      </c>
    </row>
    <row r="210" spans="1:8" x14ac:dyDescent="0.25">
      <c r="A210" s="37">
        <v>8910</v>
      </c>
      <c r="B210" s="37" t="s">
        <v>402</v>
      </c>
      <c r="C210" s="48">
        <v>-7053117.8799999999</v>
      </c>
      <c r="D210" s="48">
        <f>IFERROR(VLOOKUP($A210,[1]Consolidated!$A:$G,7,FALSE),0)</f>
        <v>0</v>
      </c>
      <c r="E210" s="48">
        <f>IFERROR(VLOOKUP($A210,[1]Consolidated!$A:$F,6,FALSE),0)</f>
        <v>0</v>
      </c>
      <c r="F210" s="48">
        <f>IFERROR(VLOOKUP($A210,[1]Consolidated!$A:$I,9,FALSE),0)</f>
        <v>0</v>
      </c>
      <c r="G210" s="48"/>
      <c r="H210" s="48">
        <f t="shared" si="6"/>
        <v>-7053117.8799999999</v>
      </c>
    </row>
    <row r="211" spans="1:8" x14ac:dyDescent="0.25">
      <c r="A211" s="37">
        <v>8915</v>
      </c>
      <c r="B211" s="37" t="s">
        <v>403</v>
      </c>
      <c r="C211" s="48">
        <v>7053117.8799999999</v>
      </c>
      <c r="D211" s="48">
        <f>IFERROR(VLOOKUP($A211,[1]Consolidated!$A:$G,7,FALSE),0)</f>
        <v>0</v>
      </c>
      <c r="E211" s="48">
        <f>IFERROR(VLOOKUP($A211,[1]Consolidated!$A:$F,6,FALSE),0)</f>
        <v>0</v>
      </c>
      <c r="F211" s="48">
        <f>IFERROR(VLOOKUP($A211,[1]Consolidated!$A:$I,9,FALSE),0)</f>
        <v>0</v>
      </c>
      <c r="G211" s="48"/>
      <c r="H211" s="48">
        <f t="shared" si="6"/>
        <v>7053117.8799999999</v>
      </c>
    </row>
    <row r="212" spans="1:8" x14ac:dyDescent="0.25">
      <c r="A212" s="37">
        <v>8920</v>
      </c>
      <c r="B212" s="37" t="s">
        <v>404</v>
      </c>
      <c r="C212" s="48">
        <v>-1795699.27</v>
      </c>
      <c r="D212" s="48">
        <f>IFERROR(VLOOKUP($A212,[1]Consolidated!$A:$G,7,FALSE),0)</f>
        <v>0</v>
      </c>
      <c r="E212" s="48">
        <f>IFERROR(VLOOKUP($A212,[1]Consolidated!$A:$F,6,FALSE),0)</f>
        <v>0</v>
      </c>
      <c r="F212" s="48">
        <f>IFERROR(VLOOKUP($A212,[1]Consolidated!$A:$I,9,FALSE),0)</f>
        <v>0</v>
      </c>
      <c r="G212" s="48"/>
      <c r="H212" s="48">
        <f t="shared" si="6"/>
        <v>-1795699.27</v>
      </c>
    </row>
    <row r="213" spans="1:8" x14ac:dyDescent="0.25">
      <c r="A213" s="37">
        <v>8925</v>
      </c>
      <c r="B213" s="37" t="s">
        <v>405</v>
      </c>
      <c r="C213" s="48">
        <v>1795699.27</v>
      </c>
      <c r="D213" s="48">
        <f>IFERROR(VLOOKUP($A213,[1]Consolidated!$A:$G,7,FALSE),0)</f>
        <v>0</v>
      </c>
      <c r="E213" s="48">
        <f>IFERROR(VLOOKUP($A213,[1]Consolidated!$A:$F,6,FALSE),0)</f>
        <v>0</v>
      </c>
      <c r="F213" s="48">
        <f>IFERROR(VLOOKUP($A213,[1]Consolidated!$A:$I,9,FALSE),0)</f>
        <v>0</v>
      </c>
      <c r="G213" s="48"/>
      <c r="H213" s="48">
        <f t="shared" si="6"/>
        <v>1795699.27</v>
      </c>
    </row>
    <row r="214" spans="1:8" x14ac:dyDescent="0.25">
      <c r="A214" s="37">
        <v>9100</v>
      </c>
      <c r="B214" s="37" t="s">
        <v>246</v>
      </c>
      <c r="C214" s="48">
        <v>-405212.92</v>
      </c>
      <c r="D214" s="48">
        <f>IFERROR(VLOOKUP($A214,[1]Consolidated!$A:$G,7,FALSE),0)</f>
        <v>0</v>
      </c>
      <c r="E214" s="48">
        <f>IFERROR(VLOOKUP($A214,[1]Consolidated!$A:$F,6,FALSE),0)</f>
        <v>318020.24</v>
      </c>
      <c r="F214" s="48">
        <f>IFERROR(VLOOKUP($A214,[1]Consolidated!$A:$I,9,FALSE),0)</f>
        <v>0</v>
      </c>
      <c r="G214" s="48"/>
      <c r="H214" s="48">
        <f t="shared" si="6"/>
        <v>-87192.68</v>
      </c>
    </row>
    <row r="215" spans="1:8" x14ac:dyDescent="0.25">
      <c r="A215" s="37">
        <v>9105</v>
      </c>
      <c r="B215" s="37" t="s">
        <v>247</v>
      </c>
      <c r="C215" s="48">
        <v>195860.13</v>
      </c>
      <c r="D215" s="48">
        <f>IFERROR(VLOOKUP($A215,[1]Consolidated!$A:$G,7,FALSE),0)</f>
        <v>0</v>
      </c>
      <c r="E215" s="48">
        <f>IFERROR(VLOOKUP($A215,[1]Consolidated!$A:$F,6,FALSE),0)</f>
        <v>0</v>
      </c>
      <c r="F215" s="48">
        <f>IFERROR(VLOOKUP($A215,[1]Consolidated!$A:$I,9,FALSE),0)</f>
        <v>0</v>
      </c>
      <c r="G215" s="48"/>
      <c r="H215" s="48">
        <f t="shared" si="6"/>
        <v>195860.13</v>
      </c>
    </row>
    <row r="216" spans="1:8" x14ac:dyDescent="0.25">
      <c r="A216" s="37">
        <v>9110</v>
      </c>
      <c r="B216" s="37" t="s">
        <v>406</v>
      </c>
      <c r="C216" s="48">
        <v>49050</v>
      </c>
      <c r="D216" s="48">
        <f>IFERROR(VLOOKUP($A216,[1]Consolidated!$A:$G,7,FALSE),0)</f>
        <v>0</v>
      </c>
      <c r="E216" s="48">
        <f>IFERROR(VLOOKUP($A216,[1]Consolidated!$A:$F,6,FALSE),0)</f>
        <v>0</v>
      </c>
      <c r="F216" s="48">
        <f>IFERROR(VLOOKUP($A216,[1]Consolidated!$A:$I,9,FALSE),0)</f>
        <v>0</v>
      </c>
      <c r="G216" s="48"/>
      <c r="H216" s="48">
        <f t="shared" si="6"/>
        <v>49050</v>
      </c>
    </row>
    <row r="217" spans="1:8" x14ac:dyDescent="0.25">
      <c r="A217" s="37">
        <v>9500</v>
      </c>
      <c r="B217" s="37" t="s">
        <v>248</v>
      </c>
      <c r="C217" s="48">
        <v>1570</v>
      </c>
      <c r="D217" s="48">
        <f>IFERROR(VLOOKUP($A217,[1]Consolidated!$A:$G,7,FALSE),0)</f>
        <v>0</v>
      </c>
      <c r="E217" s="48">
        <f>IFERROR(VLOOKUP($A217,[1]Consolidated!$A:$F,6,FALSE),0)</f>
        <v>0</v>
      </c>
      <c r="F217" s="48">
        <f>IFERROR(VLOOKUP($A217,[1]Consolidated!$A:$I,9,FALSE),0)</f>
        <v>0</v>
      </c>
      <c r="G217" s="48"/>
      <c r="H217" s="48">
        <f t="shared" si="6"/>
        <v>1570</v>
      </c>
    </row>
    <row r="218" spans="1:8" x14ac:dyDescent="0.25">
      <c r="A218" s="36">
        <v>9999</v>
      </c>
      <c r="B218" s="37" t="s">
        <v>252</v>
      </c>
      <c r="C218" s="48">
        <v>-227.53</v>
      </c>
      <c r="D218" s="48">
        <f>IFERROR(VLOOKUP($A218,[1]Consolidated!$A:$G,7,FALSE),0)</f>
        <v>0</v>
      </c>
      <c r="E218" s="48">
        <f>IFERROR(VLOOKUP($A218,[1]Consolidated!$A:$F,6,FALSE),0)</f>
        <v>0</v>
      </c>
      <c r="F218" s="48">
        <f>IFERROR(VLOOKUP($A218,[1]Consolidated!$A:$I,9,FALSE),0)</f>
        <v>0</v>
      </c>
      <c r="G218" s="4"/>
      <c r="H218" s="48">
        <f t="shared" si="6"/>
        <v>-227.53</v>
      </c>
    </row>
  </sheetData>
  <sortState ref="A8:BJ222">
    <sortCondition ref="A22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43"/>
  <sheetViews>
    <sheetView topLeftCell="A115" workbookViewId="0">
      <selection activeCell="B126" sqref="B126"/>
    </sheetView>
  </sheetViews>
  <sheetFormatPr defaultRowHeight="15" x14ac:dyDescent="0.25"/>
  <cols>
    <col min="2" max="2" width="26.5703125" bestFit="1" customWidth="1"/>
    <col min="3" max="3" width="0" hidden="1" customWidth="1"/>
    <col min="4" max="4" width="21" customWidth="1"/>
    <col min="5" max="5" width="21" bestFit="1" customWidth="1"/>
    <col min="6" max="6" width="16.85546875" bestFit="1" customWidth="1"/>
    <col min="7" max="7" width="21" bestFit="1" customWidth="1"/>
    <col min="9" max="9" width="17.7109375" customWidth="1"/>
    <col min="10" max="10" width="10.5703125" bestFit="1" customWidth="1"/>
  </cols>
  <sheetData>
    <row r="1" spans="1:9" x14ac:dyDescent="0.25">
      <c r="A1" t="s">
        <v>0</v>
      </c>
      <c r="C1" t="s">
        <v>3</v>
      </c>
      <c r="D1" t="s">
        <v>2</v>
      </c>
    </row>
    <row r="2" spans="1:9" x14ac:dyDescent="0.25">
      <c r="A2" t="s">
        <v>4</v>
      </c>
      <c r="C2" t="s">
        <v>7</v>
      </c>
      <c r="D2" t="s">
        <v>6</v>
      </c>
    </row>
    <row r="4" spans="1:9" x14ac:dyDescent="0.25">
      <c r="A4" t="s">
        <v>8</v>
      </c>
    </row>
    <row r="8" spans="1:9" x14ac:dyDescent="0.25">
      <c r="E8" s="4"/>
      <c r="F8" t="s">
        <v>303</v>
      </c>
    </row>
    <row r="9" spans="1:9" x14ac:dyDescent="0.25">
      <c r="A9" t="s">
        <v>13</v>
      </c>
      <c r="B9" t="s">
        <v>14</v>
      </c>
      <c r="D9" t="s">
        <v>16</v>
      </c>
      <c r="E9" t="s">
        <v>307</v>
      </c>
      <c r="F9" t="s">
        <v>304</v>
      </c>
      <c r="G9" t="s">
        <v>308</v>
      </c>
      <c r="I9" t="s">
        <v>305</v>
      </c>
    </row>
    <row r="10" spans="1:9" x14ac:dyDescent="0.25">
      <c r="A10">
        <v>1025</v>
      </c>
      <c r="B10" t="s">
        <v>22</v>
      </c>
      <c r="D10" s="4">
        <v>17417520.059999999</v>
      </c>
      <c r="I10" s="6">
        <f>SUM(D10:H10)</f>
        <v>17417520.059999999</v>
      </c>
    </row>
    <row r="11" spans="1:9" x14ac:dyDescent="0.25">
      <c r="A11">
        <v>1026</v>
      </c>
      <c r="B11" t="s">
        <v>23</v>
      </c>
      <c r="D11" s="4">
        <v>-300714.89</v>
      </c>
      <c r="I11" s="6">
        <f t="shared" ref="I11:I74" si="0">SUM(D11:H11)</f>
        <v>-300714.89</v>
      </c>
    </row>
    <row r="12" spans="1:9" x14ac:dyDescent="0.25">
      <c r="A12">
        <v>1040</v>
      </c>
      <c r="B12" t="s">
        <v>25</v>
      </c>
      <c r="D12" s="4">
        <v>1612595.66</v>
      </c>
      <c r="I12" s="6">
        <f t="shared" si="0"/>
        <v>1612595.66</v>
      </c>
    </row>
    <row r="13" spans="1:9" x14ac:dyDescent="0.25">
      <c r="A13">
        <v>1045</v>
      </c>
      <c r="B13" t="s">
        <v>26</v>
      </c>
      <c r="D13" s="4">
        <v>5507844.9800000004</v>
      </c>
      <c r="I13" s="6">
        <f t="shared" si="0"/>
        <v>5507844.9800000004</v>
      </c>
    </row>
    <row r="14" spans="1:9" x14ac:dyDescent="0.25">
      <c r="A14">
        <v>1050</v>
      </c>
      <c r="B14" t="s">
        <v>27</v>
      </c>
      <c r="D14" s="4">
        <v>21451.93</v>
      </c>
      <c r="I14" s="6">
        <f t="shared" si="0"/>
        <v>21451.93</v>
      </c>
    </row>
    <row r="15" spans="1:9" x14ac:dyDescent="0.25">
      <c r="A15">
        <v>1070</v>
      </c>
      <c r="B15" t="s">
        <v>28</v>
      </c>
      <c r="D15" s="4">
        <v>5498975</v>
      </c>
      <c r="I15" s="6">
        <f t="shared" si="0"/>
        <v>5498975</v>
      </c>
    </row>
    <row r="16" spans="1:9" x14ac:dyDescent="0.25">
      <c r="A16">
        <v>1170</v>
      </c>
      <c r="B16" t="s">
        <v>29</v>
      </c>
      <c r="D16" s="4">
        <v>810.3</v>
      </c>
      <c r="F16" t="s">
        <v>309</v>
      </c>
      <c r="G16" t="s">
        <v>309</v>
      </c>
      <c r="I16" s="6">
        <f t="shared" si="0"/>
        <v>810.3</v>
      </c>
    </row>
    <row r="17" spans="1:9" x14ac:dyDescent="0.25">
      <c r="A17">
        <v>1200</v>
      </c>
      <c r="B17" t="s">
        <v>30</v>
      </c>
      <c r="D17" s="4">
        <v>7454751</v>
      </c>
      <c r="I17" s="6">
        <f t="shared" si="0"/>
        <v>7454751</v>
      </c>
    </row>
    <row r="18" spans="1:9" x14ac:dyDescent="0.25">
      <c r="A18">
        <v>1210</v>
      </c>
      <c r="B18" t="s">
        <v>31</v>
      </c>
      <c r="D18" s="4">
        <v>345123.2</v>
      </c>
      <c r="I18" s="6">
        <f t="shared" si="0"/>
        <v>345123.2</v>
      </c>
    </row>
    <row r="19" spans="1:9" x14ac:dyDescent="0.25">
      <c r="A19">
        <v>1230</v>
      </c>
      <c r="B19" t="s">
        <v>32</v>
      </c>
      <c r="D19" s="4">
        <v>108342.57</v>
      </c>
      <c r="E19">
        <v>-94273.47</v>
      </c>
      <c r="G19">
        <v>-14069.100000000006</v>
      </c>
      <c r="I19" s="6">
        <f t="shared" si="0"/>
        <v>0</v>
      </c>
    </row>
    <row r="20" spans="1:9" x14ac:dyDescent="0.25">
      <c r="A20">
        <v>1240</v>
      </c>
      <c r="B20" t="s">
        <v>33</v>
      </c>
      <c r="D20" s="4">
        <v>44257.15</v>
      </c>
      <c r="G20">
        <v>-44257.15</v>
      </c>
      <c r="I20" s="6">
        <f t="shared" si="0"/>
        <v>0</v>
      </c>
    </row>
    <row r="21" spans="1:9" x14ac:dyDescent="0.25">
      <c r="A21">
        <v>1250</v>
      </c>
      <c r="B21" t="s">
        <v>34</v>
      </c>
      <c r="D21" s="4">
        <v>-186.68</v>
      </c>
      <c r="G21">
        <v>186.68</v>
      </c>
      <c r="I21" s="6">
        <f t="shared" si="0"/>
        <v>0</v>
      </c>
    </row>
    <row r="22" spans="1:9" x14ac:dyDescent="0.25">
      <c r="A22">
        <v>1260</v>
      </c>
      <c r="B22" t="s">
        <v>35</v>
      </c>
      <c r="D22" s="4">
        <v>-32708.6</v>
      </c>
      <c r="G22">
        <v>32708.6</v>
      </c>
      <c r="I22" s="6">
        <f t="shared" si="0"/>
        <v>0</v>
      </c>
    </row>
    <row r="23" spans="1:9" x14ac:dyDescent="0.25">
      <c r="A23">
        <v>1270</v>
      </c>
      <c r="B23" t="s">
        <v>36</v>
      </c>
      <c r="D23" s="4">
        <v>-10190.77</v>
      </c>
      <c r="G23">
        <v>10190.77</v>
      </c>
      <c r="I23" s="6">
        <f t="shared" si="0"/>
        <v>0</v>
      </c>
    </row>
    <row r="24" spans="1:9" x14ac:dyDescent="0.25">
      <c r="A24">
        <v>1291</v>
      </c>
      <c r="B24" t="s">
        <v>37</v>
      </c>
      <c r="D24" s="4">
        <v>-4023263.9</v>
      </c>
      <c r="I24" s="6">
        <f t="shared" si="0"/>
        <v>-4023263.9</v>
      </c>
    </row>
    <row r="25" spans="1:9" x14ac:dyDescent="0.25">
      <c r="A25">
        <v>1310</v>
      </c>
      <c r="B25" t="s">
        <v>38</v>
      </c>
      <c r="D25" s="4">
        <v>146779.98000000001</v>
      </c>
      <c r="I25" s="6">
        <f t="shared" si="0"/>
        <v>146779.98000000001</v>
      </c>
    </row>
    <row r="26" spans="1:9" x14ac:dyDescent="0.25">
      <c r="A26">
        <v>1311</v>
      </c>
      <c r="B26" t="s">
        <v>39</v>
      </c>
      <c r="D26" s="4">
        <v>100503.83</v>
      </c>
      <c r="I26" s="6">
        <f t="shared" si="0"/>
        <v>100503.83</v>
      </c>
    </row>
    <row r="27" spans="1:9" x14ac:dyDescent="0.25">
      <c r="A27">
        <v>1312</v>
      </c>
      <c r="B27" t="s">
        <v>40</v>
      </c>
      <c r="D27" s="4">
        <v>326386.89</v>
      </c>
      <c r="I27" s="6">
        <f t="shared" si="0"/>
        <v>326386.89</v>
      </c>
    </row>
    <row r="28" spans="1:9" x14ac:dyDescent="0.25">
      <c r="A28">
        <v>1313</v>
      </c>
      <c r="B28" t="s">
        <v>41</v>
      </c>
      <c r="D28" s="4">
        <v>159039.12</v>
      </c>
      <c r="I28" s="6">
        <f t="shared" si="0"/>
        <v>159039.12</v>
      </c>
    </row>
    <row r="29" spans="1:9" x14ac:dyDescent="0.25">
      <c r="A29">
        <v>1314</v>
      </c>
      <c r="B29" t="s">
        <v>42</v>
      </c>
      <c r="D29" s="4">
        <v>379607.12</v>
      </c>
      <c r="I29" s="6">
        <f t="shared" si="0"/>
        <v>379607.12</v>
      </c>
    </row>
    <row r="30" spans="1:9" x14ac:dyDescent="0.25">
      <c r="A30">
        <v>1410</v>
      </c>
      <c r="B30" t="s">
        <v>43</v>
      </c>
      <c r="D30" s="4">
        <v>1381.79</v>
      </c>
      <c r="I30" s="6">
        <f t="shared" si="0"/>
        <v>1381.79</v>
      </c>
    </row>
    <row r="31" spans="1:9" x14ac:dyDescent="0.25">
      <c r="A31">
        <v>1415</v>
      </c>
      <c r="B31" t="s">
        <v>44</v>
      </c>
      <c r="D31" s="4">
        <v>119105.95</v>
      </c>
      <c r="I31" s="6">
        <f t="shared" si="0"/>
        <v>119105.95</v>
      </c>
    </row>
    <row r="32" spans="1:9" x14ac:dyDescent="0.25">
      <c r="A32">
        <v>1416</v>
      </c>
      <c r="B32" t="s">
        <v>45</v>
      </c>
      <c r="D32" s="4">
        <v>299325.53000000003</v>
      </c>
      <c r="I32" s="6">
        <f t="shared" si="0"/>
        <v>299325.53000000003</v>
      </c>
    </row>
    <row r="33" spans="1:9" x14ac:dyDescent="0.25">
      <c r="A33">
        <v>1422</v>
      </c>
      <c r="B33" t="s">
        <v>46</v>
      </c>
      <c r="D33" s="4">
        <v>-10253.700000000001</v>
      </c>
      <c r="I33" s="6">
        <f t="shared" si="0"/>
        <v>-10253.700000000001</v>
      </c>
    </row>
    <row r="34" spans="1:9" x14ac:dyDescent="0.25">
      <c r="A34">
        <v>1520</v>
      </c>
      <c r="B34" t="s">
        <v>47</v>
      </c>
      <c r="D34" s="4">
        <v>89007.73</v>
      </c>
      <c r="I34" s="6">
        <f t="shared" si="0"/>
        <v>89007.73</v>
      </c>
    </row>
    <row r="35" spans="1:9" x14ac:dyDescent="0.25">
      <c r="A35">
        <v>1526</v>
      </c>
      <c r="B35" t="s">
        <v>48</v>
      </c>
      <c r="D35" s="4">
        <v>161179.25</v>
      </c>
      <c r="I35" s="6">
        <f t="shared" si="0"/>
        <v>161179.25</v>
      </c>
    </row>
    <row r="36" spans="1:9" x14ac:dyDescent="0.25">
      <c r="A36">
        <v>1535</v>
      </c>
      <c r="B36" t="s">
        <v>49</v>
      </c>
      <c r="D36" s="4">
        <v>5111.51</v>
      </c>
      <c r="I36" s="6">
        <f t="shared" si="0"/>
        <v>5111.51</v>
      </c>
    </row>
    <row r="37" spans="1:9" x14ac:dyDescent="0.25">
      <c r="A37">
        <v>1610</v>
      </c>
      <c r="B37" t="s">
        <v>50</v>
      </c>
      <c r="D37" s="4">
        <v>10611314.710000001</v>
      </c>
      <c r="I37" s="6">
        <f t="shared" si="0"/>
        <v>10611314.710000001</v>
      </c>
    </row>
    <row r="38" spans="1:9" x14ac:dyDescent="0.25">
      <c r="A38">
        <v>1611</v>
      </c>
      <c r="B38" t="s">
        <v>51</v>
      </c>
      <c r="D38" s="4">
        <v>11365841.539999999</v>
      </c>
      <c r="I38" s="6">
        <f t="shared" si="0"/>
        <v>11365841.539999999</v>
      </c>
    </row>
    <row r="39" spans="1:9" x14ac:dyDescent="0.25">
      <c r="A39">
        <v>1612</v>
      </c>
      <c r="B39" t="s">
        <v>52</v>
      </c>
      <c r="D39" s="4">
        <v>1224586.99</v>
      </c>
      <c r="I39" s="6">
        <f t="shared" si="0"/>
        <v>1224586.99</v>
      </c>
    </row>
    <row r="40" spans="1:9" x14ac:dyDescent="0.25">
      <c r="A40">
        <v>1615</v>
      </c>
      <c r="B40" t="s">
        <v>53</v>
      </c>
      <c r="D40" s="4">
        <v>141914.20000000001</v>
      </c>
      <c r="I40" s="6">
        <f t="shared" si="0"/>
        <v>141914.20000000001</v>
      </c>
    </row>
    <row r="41" spans="1:9" x14ac:dyDescent="0.25">
      <c r="A41">
        <v>1620</v>
      </c>
      <c r="B41" t="s">
        <v>54</v>
      </c>
      <c r="D41" s="4">
        <v>520647.29</v>
      </c>
      <c r="I41" s="6">
        <f t="shared" si="0"/>
        <v>520647.29</v>
      </c>
    </row>
    <row r="42" spans="1:9" x14ac:dyDescent="0.25">
      <c r="A42">
        <v>1625</v>
      </c>
      <c r="B42" t="s">
        <v>55</v>
      </c>
      <c r="D42" s="4">
        <v>1654815.98</v>
      </c>
      <c r="I42" s="6">
        <f t="shared" si="0"/>
        <v>1654815.98</v>
      </c>
    </row>
    <row r="43" spans="1:9" x14ac:dyDescent="0.25">
      <c r="A43">
        <v>1630</v>
      </c>
      <c r="B43" t="s">
        <v>56</v>
      </c>
      <c r="D43" s="4">
        <v>1280499.02</v>
      </c>
      <c r="I43" s="6">
        <f t="shared" si="0"/>
        <v>1280499.02</v>
      </c>
    </row>
    <row r="44" spans="1:9" x14ac:dyDescent="0.25">
      <c r="A44">
        <v>1635</v>
      </c>
      <c r="B44" t="s">
        <v>57</v>
      </c>
      <c r="D44" s="4">
        <v>5133046.58</v>
      </c>
      <c r="I44" s="6">
        <f t="shared" si="0"/>
        <v>5133046.58</v>
      </c>
    </row>
    <row r="45" spans="1:9" x14ac:dyDescent="0.25">
      <c r="A45">
        <v>1640</v>
      </c>
      <c r="B45" t="s">
        <v>58</v>
      </c>
      <c r="D45" s="4">
        <v>80752.34</v>
      </c>
      <c r="I45" s="6">
        <f t="shared" si="0"/>
        <v>80752.34</v>
      </c>
    </row>
    <row r="46" spans="1:9" x14ac:dyDescent="0.25">
      <c r="A46">
        <v>1680</v>
      </c>
      <c r="B46" t="s">
        <v>59</v>
      </c>
      <c r="D46" s="4">
        <v>650165.16</v>
      </c>
      <c r="I46" s="6">
        <f t="shared" si="0"/>
        <v>650165.16</v>
      </c>
    </row>
    <row r="47" spans="1:9" x14ac:dyDescent="0.25">
      <c r="A47">
        <v>1690</v>
      </c>
      <c r="B47" t="s">
        <v>60</v>
      </c>
      <c r="D47" s="4">
        <v>666359.88</v>
      </c>
      <c r="I47" s="6">
        <f t="shared" si="0"/>
        <v>666359.88</v>
      </c>
    </row>
    <row r="48" spans="1:9" x14ac:dyDescent="0.25">
      <c r="A48">
        <v>1695</v>
      </c>
      <c r="B48" t="s">
        <v>61</v>
      </c>
      <c r="D48" s="4">
        <v>64272.66</v>
      </c>
      <c r="I48" s="6">
        <f t="shared" si="0"/>
        <v>64272.66</v>
      </c>
    </row>
    <row r="49" spans="1:9" x14ac:dyDescent="0.25">
      <c r="A49">
        <v>1696</v>
      </c>
      <c r="B49" t="s">
        <v>62</v>
      </c>
      <c r="D49" s="4">
        <v>0.01</v>
      </c>
      <c r="I49" s="6">
        <f t="shared" si="0"/>
        <v>0.01</v>
      </c>
    </row>
    <row r="50" spans="1:9" x14ac:dyDescent="0.25">
      <c r="A50">
        <v>1710</v>
      </c>
      <c r="B50" t="s">
        <v>63</v>
      </c>
      <c r="D50" s="4">
        <v>-4126411.63</v>
      </c>
      <c r="I50" s="6">
        <f t="shared" si="0"/>
        <v>-4126411.63</v>
      </c>
    </row>
    <row r="51" spans="1:9" x14ac:dyDescent="0.25">
      <c r="A51">
        <v>1711</v>
      </c>
      <c r="B51" t="s">
        <v>64</v>
      </c>
      <c r="D51" s="4">
        <v>-1567209.22</v>
      </c>
      <c r="I51" s="6">
        <f t="shared" si="0"/>
        <v>-1567209.22</v>
      </c>
    </row>
    <row r="52" spans="1:9" x14ac:dyDescent="0.25">
      <c r="A52">
        <v>1712</v>
      </c>
      <c r="B52" t="s">
        <v>65</v>
      </c>
      <c r="D52" s="4">
        <v>-261289.56</v>
      </c>
      <c r="I52" s="6">
        <f t="shared" si="0"/>
        <v>-261289.56</v>
      </c>
    </row>
    <row r="53" spans="1:9" x14ac:dyDescent="0.25">
      <c r="A53">
        <v>1715</v>
      </c>
      <c r="B53" t="s">
        <v>66</v>
      </c>
      <c r="D53" s="4">
        <v>-108471.57</v>
      </c>
      <c r="I53" s="6">
        <f t="shared" si="0"/>
        <v>-108471.57</v>
      </c>
    </row>
    <row r="54" spans="1:9" x14ac:dyDescent="0.25">
      <c r="A54">
        <v>1720</v>
      </c>
      <c r="B54" t="s">
        <v>67</v>
      </c>
      <c r="D54" s="4">
        <v>-279530.39</v>
      </c>
      <c r="I54" s="6">
        <f t="shared" si="0"/>
        <v>-279530.39</v>
      </c>
    </row>
    <row r="55" spans="1:9" x14ac:dyDescent="0.25">
      <c r="A55">
        <v>1725</v>
      </c>
      <c r="B55" t="s">
        <v>68</v>
      </c>
      <c r="D55" s="4">
        <v>-1004782.31</v>
      </c>
      <c r="I55" s="6">
        <f t="shared" si="0"/>
        <v>-1004782.31</v>
      </c>
    </row>
    <row r="56" spans="1:9" x14ac:dyDescent="0.25">
      <c r="A56">
        <v>1730</v>
      </c>
      <c r="B56" t="s">
        <v>69</v>
      </c>
      <c r="D56" s="4">
        <v>-617911.06000000006</v>
      </c>
      <c r="I56" s="6">
        <f t="shared" si="0"/>
        <v>-617911.06000000006</v>
      </c>
    </row>
    <row r="57" spans="1:9" x14ac:dyDescent="0.25">
      <c r="A57">
        <v>1735</v>
      </c>
      <c r="B57" t="s">
        <v>70</v>
      </c>
      <c r="D57" s="4">
        <v>-2750402.68</v>
      </c>
      <c r="I57" s="6">
        <f t="shared" si="0"/>
        <v>-2750402.68</v>
      </c>
    </row>
    <row r="58" spans="1:9" x14ac:dyDescent="0.25">
      <c r="A58">
        <v>1740</v>
      </c>
      <c r="B58" t="s">
        <v>71</v>
      </c>
      <c r="D58" s="4">
        <v>-7523.1</v>
      </c>
      <c r="I58" s="6">
        <f t="shared" si="0"/>
        <v>-7523.1</v>
      </c>
    </row>
    <row r="59" spans="1:9" x14ac:dyDescent="0.25">
      <c r="A59">
        <v>1780</v>
      </c>
      <c r="B59" t="s">
        <v>72</v>
      </c>
      <c r="D59" s="4">
        <v>-650165.18999999994</v>
      </c>
      <c r="I59" s="6">
        <f t="shared" si="0"/>
        <v>-650165.18999999994</v>
      </c>
    </row>
    <row r="60" spans="1:9" x14ac:dyDescent="0.25">
      <c r="A60">
        <v>1800</v>
      </c>
      <c r="B60" t="s">
        <v>76</v>
      </c>
      <c r="D60" s="4">
        <v>18961000</v>
      </c>
      <c r="F60" t="s">
        <v>309</v>
      </c>
      <c r="G60" t="s">
        <v>309</v>
      </c>
      <c r="I60" s="6">
        <f t="shared" si="0"/>
        <v>18961000</v>
      </c>
    </row>
    <row r="61" spans="1:9" x14ac:dyDescent="0.25">
      <c r="A61">
        <v>1806</v>
      </c>
      <c r="B61" t="s">
        <v>77</v>
      </c>
      <c r="D61" s="4">
        <v>1202821.2</v>
      </c>
      <c r="I61" s="6">
        <f t="shared" si="0"/>
        <v>1202821.2</v>
      </c>
    </row>
    <row r="62" spans="1:9" x14ac:dyDescent="0.25">
      <c r="A62">
        <v>1815</v>
      </c>
      <c r="B62" t="s">
        <v>78</v>
      </c>
      <c r="D62" s="4">
        <v>25867900.27</v>
      </c>
      <c r="F62">
        <v>-25867900.27</v>
      </c>
      <c r="I62" s="6">
        <f t="shared" si="0"/>
        <v>0</v>
      </c>
    </row>
    <row r="63" spans="1:9" x14ac:dyDescent="0.25">
      <c r="A63">
        <v>1820</v>
      </c>
      <c r="B63" t="s">
        <v>79</v>
      </c>
      <c r="D63" s="4">
        <v>708729.9</v>
      </c>
      <c r="F63">
        <v>-708729.9</v>
      </c>
      <c r="I63" s="6">
        <f t="shared" si="0"/>
        <v>0</v>
      </c>
    </row>
    <row r="64" spans="1:9" x14ac:dyDescent="0.25">
      <c r="A64">
        <v>1825</v>
      </c>
      <c r="B64" t="s">
        <v>80</v>
      </c>
      <c r="D64" s="4">
        <v>3000</v>
      </c>
      <c r="I64" s="6">
        <f t="shared" si="0"/>
        <v>3000</v>
      </c>
    </row>
    <row r="65" spans="1:9" x14ac:dyDescent="0.25">
      <c r="A65">
        <v>2010</v>
      </c>
      <c r="B65" t="s">
        <v>81</v>
      </c>
      <c r="D65" s="4">
        <v>-7429563.4299999997</v>
      </c>
      <c r="I65" s="6">
        <f t="shared" si="0"/>
        <v>-7429563.4299999997</v>
      </c>
    </row>
    <row r="66" spans="1:9" x14ac:dyDescent="0.25">
      <c r="A66">
        <v>2015</v>
      </c>
      <c r="B66" t="s">
        <v>82</v>
      </c>
      <c r="D66" s="4"/>
      <c r="F66" t="s">
        <v>309</v>
      </c>
      <c r="G66" t="s">
        <v>309</v>
      </c>
      <c r="I66" s="6">
        <f t="shared" si="0"/>
        <v>0</v>
      </c>
    </row>
    <row r="67" spans="1:9" x14ac:dyDescent="0.25">
      <c r="A67">
        <v>2020</v>
      </c>
      <c r="B67" t="s">
        <v>83</v>
      </c>
      <c r="D67" s="4">
        <v>-39712.49</v>
      </c>
      <c r="I67" s="6">
        <f t="shared" si="0"/>
        <v>-39712.49</v>
      </c>
    </row>
    <row r="68" spans="1:9" x14ac:dyDescent="0.25">
      <c r="A68">
        <v>2030</v>
      </c>
      <c r="B68" t="s">
        <v>84</v>
      </c>
      <c r="D68" s="4">
        <v>-354459.56</v>
      </c>
      <c r="I68" s="6">
        <f t="shared" si="0"/>
        <v>-354459.56</v>
      </c>
    </row>
    <row r="69" spans="1:9" x14ac:dyDescent="0.25">
      <c r="A69">
        <v>2035</v>
      </c>
      <c r="B69" t="s">
        <v>85</v>
      </c>
      <c r="D69" s="4">
        <v>-942077.67</v>
      </c>
      <c r="I69" s="6">
        <f t="shared" si="0"/>
        <v>-942077.67</v>
      </c>
    </row>
    <row r="70" spans="1:9" x14ac:dyDescent="0.25">
      <c r="A70">
        <v>2045</v>
      </c>
      <c r="B70" t="s">
        <v>86</v>
      </c>
      <c r="C70" t="s">
        <v>295</v>
      </c>
      <c r="D70" s="4">
        <v>-792277.04</v>
      </c>
      <c r="I70" s="6">
        <f t="shared" si="0"/>
        <v>-792277.04</v>
      </c>
    </row>
    <row r="71" spans="1:9" x14ac:dyDescent="0.25">
      <c r="A71">
        <v>2055</v>
      </c>
      <c r="B71" t="s">
        <v>87</v>
      </c>
      <c r="C71" t="s">
        <v>296</v>
      </c>
      <c r="D71" s="4">
        <v>-1266413.2</v>
      </c>
      <c r="I71" s="6">
        <f t="shared" si="0"/>
        <v>-1266413.2</v>
      </c>
    </row>
    <row r="72" spans="1:9" x14ac:dyDescent="0.25">
      <c r="A72">
        <v>2065</v>
      </c>
      <c r="B72" t="s">
        <v>88</v>
      </c>
      <c r="C72" s="5" t="s">
        <v>293</v>
      </c>
      <c r="D72" s="4">
        <v>-546054.42000000004</v>
      </c>
      <c r="I72" s="6">
        <f t="shared" si="0"/>
        <v>-546054.42000000004</v>
      </c>
    </row>
    <row r="73" spans="1:9" x14ac:dyDescent="0.25">
      <c r="A73">
        <v>2075</v>
      </c>
      <c r="B73" t="s">
        <v>89</v>
      </c>
      <c r="C73" t="s">
        <v>297</v>
      </c>
      <c r="D73" s="4">
        <v>-94415.07</v>
      </c>
      <c r="I73" s="6">
        <f t="shared" si="0"/>
        <v>-94415.07</v>
      </c>
    </row>
    <row r="74" spans="1:9" x14ac:dyDescent="0.25">
      <c r="A74">
        <v>2085</v>
      </c>
      <c r="B74" t="s">
        <v>90</v>
      </c>
      <c r="C74" t="s">
        <v>296</v>
      </c>
      <c r="D74" s="4">
        <v>-41602.31</v>
      </c>
      <c r="I74" s="6">
        <f t="shared" si="0"/>
        <v>-41602.31</v>
      </c>
    </row>
    <row r="75" spans="1:9" x14ac:dyDescent="0.25">
      <c r="A75">
        <v>2120</v>
      </c>
      <c r="B75" t="s">
        <v>91</v>
      </c>
      <c r="D75" s="4">
        <v>-25489.45</v>
      </c>
      <c r="I75" s="6">
        <f t="shared" ref="I75:I138" si="1">SUM(D75:H75)</f>
        <v>-25489.45</v>
      </c>
    </row>
    <row r="76" spans="1:9" x14ac:dyDescent="0.25">
      <c r="A76">
        <v>2121</v>
      </c>
      <c r="B76" t="s">
        <v>92</v>
      </c>
      <c r="D76" s="4">
        <v>-10923.34</v>
      </c>
      <c r="I76" s="6">
        <f t="shared" si="1"/>
        <v>-10923.34</v>
      </c>
    </row>
    <row r="77" spans="1:9" x14ac:dyDescent="0.25">
      <c r="A77">
        <v>2140</v>
      </c>
      <c r="B77" t="s">
        <v>93</v>
      </c>
      <c r="C77" t="s">
        <v>294</v>
      </c>
      <c r="D77" s="4">
        <v>-119644.22</v>
      </c>
      <c r="I77" s="6">
        <f t="shared" si="1"/>
        <v>-119644.22</v>
      </c>
    </row>
    <row r="78" spans="1:9" x14ac:dyDescent="0.25">
      <c r="A78">
        <v>2145</v>
      </c>
      <c r="B78" t="s">
        <v>94</v>
      </c>
      <c r="C78" t="s">
        <v>294</v>
      </c>
      <c r="D78" s="4">
        <v>-15244140.300000001</v>
      </c>
      <c r="F78">
        <v>13377782.116</v>
      </c>
      <c r="I78" s="6">
        <f t="shared" si="1"/>
        <v>-1866358.1840000004</v>
      </c>
    </row>
    <row r="79" spans="1:9" x14ac:dyDescent="0.25">
      <c r="A79">
        <v>2147</v>
      </c>
      <c r="B79" t="s">
        <v>95</v>
      </c>
      <c r="C79" t="s">
        <v>298</v>
      </c>
      <c r="D79" s="4">
        <v>-22941.06</v>
      </c>
      <c r="I79" s="6">
        <f t="shared" si="1"/>
        <v>-22941.06</v>
      </c>
    </row>
    <row r="80" spans="1:9" x14ac:dyDescent="0.25">
      <c r="A80">
        <v>2150</v>
      </c>
      <c r="B80" t="s">
        <v>96</v>
      </c>
      <c r="C80" t="s">
        <v>294</v>
      </c>
      <c r="D80" s="4">
        <v>-83808016.890000001</v>
      </c>
      <c r="I80" s="6">
        <f t="shared" si="1"/>
        <v>-83808016.890000001</v>
      </c>
    </row>
    <row r="81" spans="1:9" x14ac:dyDescent="0.25">
      <c r="A81">
        <v>2157</v>
      </c>
      <c r="B81" t="s">
        <v>97</v>
      </c>
      <c r="D81" s="4">
        <v>-50000</v>
      </c>
      <c r="F81" t="s">
        <v>309</v>
      </c>
      <c r="G81" t="s">
        <v>309</v>
      </c>
      <c r="I81" s="6">
        <f t="shared" si="1"/>
        <v>-50000</v>
      </c>
    </row>
    <row r="82" spans="1:9" x14ac:dyDescent="0.25">
      <c r="A82">
        <v>2210</v>
      </c>
      <c r="B82" t="s">
        <v>98</v>
      </c>
      <c r="D82" s="4">
        <v>-0.01</v>
      </c>
      <c r="I82" s="6">
        <f t="shared" si="1"/>
        <v>-0.01</v>
      </c>
    </row>
    <row r="83" spans="1:9" x14ac:dyDescent="0.25">
      <c r="A83">
        <v>2211</v>
      </c>
      <c r="B83" t="s">
        <v>99</v>
      </c>
      <c r="C83" t="s">
        <v>294</v>
      </c>
      <c r="D83" s="4">
        <v>-45187358.880000003</v>
      </c>
      <c r="I83" s="6">
        <f t="shared" si="1"/>
        <v>-45187358.880000003</v>
      </c>
    </row>
    <row r="84" spans="1:9" x14ac:dyDescent="0.25">
      <c r="A84">
        <v>2310</v>
      </c>
      <c r="B84" t="s">
        <v>100</v>
      </c>
      <c r="C84" t="s">
        <v>294</v>
      </c>
      <c r="D84" s="4">
        <v>-573860.75</v>
      </c>
      <c r="I84" s="6">
        <f t="shared" si="1"/>
        <v>-573860.75</v>
      </c>
    </row>
    <row r="85" spans="1:9" x14ac:dyDescent="0.25">
      <c r="A85">
        <v>2410</v>
      </c>
      <c r="B85" t="s">
        <v>101</v>
      </c>
      <c r="C85" t="s">
        <v>294</v>
      </c>
      <c r="D85" s="4">
        <v>-1857394.97</v>
      </c>
      <c r="I85" s="6">
        <f t="shared" si="1"/>
        <v>-1857394.97</v>
      </c>
    </row>
    <row r="86" spans="1:9" x14ac:dyDescent="0.25">
      <c r="A86">
        <v>2425</v>
      </c>
      <c r="B86" t="s">
        <v>102</v>
      </c>
      <c r="C86" t="s">
        <v>294</v>
      </c>
      <c r="D86" s="4">
        <v>-40000000</v>
      </c>
      <c r="I86" s="6">
        <f t="shared" si="1"/>
        <v>-40000000</v>
      </c>
    </row>
    <row r="87" spans="1:9" x14ac:dyDescent="0.25">
      <c r="A87">
        <v>2426</v>
      </c>
      <c r="B87" t="s">
        <v>103</v>
      </c>
      <c r="C87" t="s">
        <v>294</v>
      </c>
      <c r="D87" s="4">
        <v>-489150.69</v>
      </c>
      <c r="I87" s="6">
        <f t="shared" si="1"/>
        <v>-489150.69</v>
      </c>
    </row>
    <row r="88" spans="1:9" x14ac:dyDescent="0.25">
      <c r="A88">
        <v>2510</v>
      </c>
      <c r="B88" t="s">
        <v>104</v>
      </c>
      <c r="C88" t="s">
        <v>294</v>
      </c>
      <c r="D88" s="4">
        <v>-1897229.34</v>
      </c>
      <c r="I88" s="6">
        <f t="shared" si="1"/>
        <v>-1897229.34</v>
      </c>
    </row>
    <row r="89" spans="1:9" x14ac:dyDescent="0.25">
      <c r="A89">
        <v>3010</v>
      </c>
      <c r="B89" t="s">
        <v>105</v>
      </c>
      <c r="D89" s="4">
        <v>-4402.1000000000004</v>
      </c>
      <c r="I89" s="6">
        <f t="shared" si="1"/>
        <v>-4402.1000000000004</v>
      </c>
    </row>
    <row r="90" spans="1:9" x14ac:dyDescent="0.25">
      <c r="A90">
        <v>3015</v>
      </c>
      <c r="B90" t="s">
        <v>106</v>
      </c>
      <c r="D90" s="4">
        <v>-21645992.760000002</v>
      </c>
      <c r="F90">
        <v>12490118.153999999</v>
      </c>
      <c r="I90" s="6">
        <f t="shared" si="1"/>
        <v>-9155874.6060000025</v>
      </c>
    </row>
    <row r="91" spans="1:9" x14ac:dyDescent="0.25">
      <c r="A91">
        <v>3020</v>
      </c>
      <c r="B91" t="s">
        <v>107</v>
      </c>
      <c r="D91" s="4">
        <v>-926.4</v>
      </c>
      <c r="I91" s="6">
        <f t="shared" si="1"/>
        <v>-926.4</v>
      </c>
    </row>
    <row r="92" spans="1:9" x14ac:dyDescent="0.25">
      <c r="A92">
        <v>3025</v>
      </c>
      <c r="B92" t="s">
        <v>108</v>
      </c>
      <c r="D92" s="4">
        <v>-6391349.5300000003</v>
      </c>
      <c r="I92" s="6">
        <f t="shared" si="1"/>
        <v>-6391349.5300000003</v>
      </c>
    </row>
    <row r="93" spans="1:9" x14ac:dyDescent="0.25">
      <c r="A93">
        <v>3030</v>
      </c>
      <c r="B93" t="s">
        <v>109</v>
      </c>
      <c r="D93" s="4">
        <v>-1083.26</v>
      </c>
      <c r="I93" s="6">
        <f t="shared" si="1"/>
        <v>-1083.26</v>
      </c>
    </row>
    <row r="94" spans="1:9" x14ac:dyDescent="0.25">
      <c r="A94">
        <v>3032</v>
      </c>
      <c r="B94" t="s">
        <v>110</v>
      </c>
      <c r="D94" s="4">
        <v>153728.4</v>
      </c>
      <c r="I94" s="6">
        <f t="shared" si="1"/>
        <v>153728.4</v>
      </c>
    </row>
    <row r="95" spans="1:9" x14ac:dyDescent="0.25">
      <c r="A95">
        <v>3035</v>
      </c>
      <c r="B95" t="s">
        <v>111</v>
      </c>
      <c r="D95" s="4">
        <v>-9998916.6899999995</v>
      </c>
      <c r="I95" s="6">
        <f t="shared" si="1"/>
        <v>-9998916.6899999995</v>
      </c>
    </row>
    <row r="96" spans="1:9" x14ac:dyDescent="0.25">
      <c r="A96">
        <v>3040</v>
      </c>
      <c r="B96" t="s">
        <v>112</v>
      </c>
      <c r="D96" s="4">
        <v>-1178.3399999999999</v>
      </c>
      <c r="I96" s="6">
        <f t="shared" si="1"/>
        <v>-1178.3399999999999</v>
      </c>
    </row>
    <row r="97" spans="1:9" x14ac:dyDescent="0.25">
      <c r="A97">
        <v>3042</v>
      </c>
      <c r="B97" t="s">
        <v>113</v>
      </c>
      <c r="D97" s="4">
        <v>152658.68</v>
      </c>
      <c r="I97" s="6">
        <f t="shared" si="1"/>
        <v>152658.68</v>
      </c>
    </row>
    <row r="98" spans="1:9" x14ac:dyDescent="0.25">
      <c r="A98">
        <v>3045</v>
      </c>
      <c r="B98" t="s">
        <v>114</v>
      </c>
      <c r="D98" s="4">
        <v>-33216225.300000001</v>
      </c>
      <c r="I98" s="6">
        <f t="shared" si="1"/>
        <v>-33216225.300000001</v>
      </c>
    </row>
    <row r="99" spans="1:9" x14ac:dyDescent="0.25">
      <c r="A99">
        <v>3046</v>
      </c>
      <c r="B99" t="s">
        <v>115</v>
      </c>
      <c r="D99" s="4">
        <v>-397.77</v>
      </c>
      <c r="I99" s="6">
        <f t="shared" si="1"/>
        <v>-397.77</v>
      </c>
    </row>
    <row r="100" spans="1:9" x14ac:dyDescent="0.25">
      <c r="A100">
        <v>3048</v>
      </c>
      <c r="B100" t="s">
        <v>116</v>
      </c>
      <c r="D100" s="4">
        <v>83723</v>
      </c>
      <c r="I100" s="6">
        <f t="shared" si="1"/>
        <v>83723</v>
      </c>
    </row>
    <row r="101" spans="1:9" x14ac:dyDescent="0.25">
      <c r="A101">
        <v>3049</v>
      </c>
      <c r="B101" t="s">
        <v>117</v>
      </c>
      <c r="D101" s="4">
        <v>-76224607.230000004</v>
      </c>
      <c r="I101" s="6">
        <f t="shared" si="1"/>
        <v>-76224607.230000004</v>
      </c>
    </row>
    <row r="102" spans="1:9" x14ac:dyDescent="0.25">
      <c r="A102">
        <v>3050</v>
      </c>
      <c r="B102" t="s">
        <v>118</v>
      </c>
      <c r="D102" s="4">
        <v>10021.51</v>
      </c>
      <c r="I102" s="6">
        <f t="shared" si="1"/>
        <v>10021.51</v>
      </c>
    </row>
    <row r="103" spans="1:9" x14ac:dyDescent="0.25">
      <c r="A103">
        <v>3060</v>
      </c>
      <c r="B103" t="s">
        <v>119</v>
      </c>
      <c r="D103" s="4">
        <v>495.74</v>
      </c>
      <c r="I103" s="6">
        <f t="shared" si="1"/>
        <v>495.74</v>
      </c>
    </row>
    <row r="104" spans="1:9" x14ac:dyDescent="0.25">
      <c r="A104">
        <v>3090</v>
      </c>
      <c r="B104" t="s">
        <v>120</v>
      </c>
      <c r="D104" s="4">
        <v>156741771.05000001</v>
      </c>
      <c r="E104">
        <v>94273.47</v>
      </c>
      <c r="F104">
        <v>384966.49000000005</v>
      </c>
      <c r="G104">
        <v>15240.200000000008</v>
      </c>
      <c r="I104" s="6">
        <f t="shared" si="1"/>
        <v>157236251.21000001</v>
      </c>
    </row>
    <row r="105" spans="1:9" x14ac:dyDescent="0.25">
      <c r="A105">
        <v>5200</v>
      </c>
      <c r="B105" t="s">
        <v>121</v>
      </c>
      <c r="D105" s="4">
        <v>826133.17</v>
      </c>
      <c r="I105" s="6">
        <f t="shared" si="1"/>
        <v>826133.17</v>
      </c>
    </row>
    <row r="106" spans="1:9" x14ac:dyDescent="0.25">
      <c r="A106">
        <v>5300</v>
      </c>
      <c r="B106" t="s">
        <v>122</v>
      </c>
      <c r="D106" s="4">
        <v>10024.08</v>
      </c>
      <c r="I106" s="6">
        <f t="shared" si="1"/>
        <v>10024.08</v>
      </c>
    </row>
    <row r="107" spans="1:9" x14ac:dyDescent="0.25">
      <c r="A107">
        <v>5400</v>
      </c>
      <c r="B107" t="s">
        <v>123</v>
      </c>
      <c r="D107" s="4">
        <v>4861.5600000000004</v>
      </c>
      <c r="I107" s="6">
        <f t="shared" si="1"/>
        <v>4861.5600000000004</v>
      </c>
    </row>
    <row r="108" spans="1:9" x14ac:dyDescent="0.25">
      <c r="A108">
        <v>5500</v>
      </c>
      <c r="B108" t="s">
        <v>124</v>
      </c>
      <c r="D108" s="4">
        <v>-306374.03999999998</v>
      </c>
      <c r="I108" s="6">
        <f t="shared" si="1"/>
        <v>-306374.03999999998</v>
      </c>
    </row>
    <row r="109" spans="1:9" x14ac:dyDescent="0.25">
      <c r="A109">
        <v>5600</v>
      </c>
      <c r="B109" t="s">
        <v>125</v>
      </c>
      <c r="D109" s="4">
        <v>78578.48</v>
      </c>
      <c r="I109" s="6">
        <f t="shared" si="1"/>
        <v>78578.48</v>
      </c>
    </row>
    <row r="110" spans="1:9" x14ac:dyDescent="0.25">
      <c r="A110">
        <v>5610</v>
      </c>
      <c r="B110" t="s">
        <v>126</v>
      </c>
      <c r="D110" s="4">
        <v>-649.34</v>
      </c>
      <c r="I110" s="6">
        <f t="shared" si="1"/>
        <v>-649.34</v>
      </c>
    </row>
    <row r="111" spans="1:9" x14ac:dyDescent="0.25">
      <c r="A111">
        <v>5650</v>
      </c>
      <c r="B111" t="s">
        <v>127</v>
      </c>
      <c r="D111" s="4">
        <v>-105391.33</v>
      </c>
      <c r="I111" s="6">
        <f t="shared" si="1"/>
        <v>-105391.33</v>
      </c>
    </row>
    <row r="112" spans="1:9" x14ac:dyDescent="0.25">
      <c r="A112">
        <v>5700</v>
      </c>
      <c r="B112" t="s">
        <v>128</v>
      </c>
      <c r="D112" s="4">
        <v>109053.06</v>
      </c>
      <c r="I112" s="6">
        <f t="shared" si="1"/>
        <v>109053.06</v>
      </c>
    </row>
    <row r="113" spans="1:9" x14ac:dyDescent="0.25">
      <c r="A113">
        <v>5705</v>
      </c>
      <c r="B113" t="s">
        <v>129</v>
      </c>
      <c r="D113" s="4">
        <v>16272</v>
      </c>
      <c r="I113" s="6">
        <f t="shared" si="1"/>
        <v>16272</v>
      </c>
    </row>
    <row r="114" spans="1:9" x14ac:dyDescent="0.25">
      <c r="A114">
        <v>5720</v>
      </c>
      <c r="B114" t="s">
        <v>130</v>
      </c>
      <c r="D114" s="4">
        <v>1008628.02</v>
      </c>
      <c r="I114" s="6">
        <f t="shared" si="1"/>
        <v>1008628.02</v>
      </c>
    </row>
    <row r="115" spans="1:9" x14ac:dyDescent="0.25">
      <c r="A115">
        <v>5725</v>
      </c>
      <c r="B115" t="s">
        <v>131</v>
      </c>
      <c r="D115" s="4">
        <v>-303778.03999999998</v>
      </c>
      <c r="I115" s="6">
        <f t="shared" si="1"/>
        <v>-303778.03999999998</v>
      </c>
    </row>
    <row r="116" spans="1:9" x14ac:dyDescent="0.25">
      <c r="A116">
        <v>5730</v>
      </c>
      <c r="B116" t="s">
        <v>132</v>
      </c>
      <c r="D116" s="4">
        <v>165737.28</v>
      </c>
      <c r="I116" s="6">
        <f t="shared" si="1"/>
        <v>165737.28</v>
      </c>
    </row>
    <row r="117" spans="1:9" x14ac:dyDescent="0.25">
      <c r="A117">
        <v>5740</v>
      </c>
      <c r="B117" t="s">
        <v>133</v>
      </c>
      <c r="D117" s="4">
        <v>20161.509999999998</v>
      </c>
      <c r="I117" s="6">
        <f t="shared" si="1"/>
        <v>20161.509999999998</v>
      </c>
    </row>
    <row r="118" spans="1:9" x14ac:dyDescent="0.25">
      <c r="A118">
        <v>5850</v>
      </c>
      <c r="B118" t="s">
        <v>134</v>
      </c>
      <c r="D118" s="4">
        <v>525091.37</v>
      </c>
      <c r="I118" s="6">
        <f t="shared" si="1"/>
        <v>525091.37</v>
      </c>
    </row>
    <row r="119" spans="1:9" x14ac:dyDescent="0.25">
      <c r="A119">
        <v>5855</v>
      </c>
      <c r="B119" t="s">
        <v>135</v>
      </c>
      <c r="D119" s="4">
        <v>-33161.660000000003</v>
      </c>
      <c r="I119" s="6">
        <f t="shared" si="1"/>
        <v>-33161.660000000003</v>
      </c>
    </row>
    <row r="120" spans="1:9" x14ac:dyDescent="0.25">
      <c r="A120">
        <v>5900</v>
      </c>
      <c r="B120" t="s">
        <v>136</v>
      </c>
      <c r="D120" s="4">
        <v>-56959.43</v>
      </c>
      <c r="I120" s="6">
        <f t="shared" si="1"/>
        <v>-56959.43</v>
      </c>
    </row>
    <row r="121" spans="1:9" x14ac:dyDescent="0.25">
      <c r="A121">
        <v>5905</v>
      </c>
      <c r="B121" t="s">
        <v>137</v>
      </c>
      <c r="D121" s="4">
        <v>-30698.48</v>
      </c>
      <c r="I121" s="6">
        <f t="shared" si="1"/>
        <v>-30698.48</v>
      </c>
    </row>
    <row r="122" spans="1:9" x14ac:dyDescent="0.25">
      <c r="A122">
        <v>5998</v>
      </c>
      <c r="B122" t="s">
        <v>138</v>
      </c>
      <c r="D122" s="4">
        <v>-9610.83</v>
      </c>
      <c r="I122" s="6">
        <f t="shared" si="1"/>
        <v>-9610.83</v>
      </c>
    </row>
    <row r="123" spans="1:9" x14ac:dyDescent="0.25">
      <c r="A123">
        <v>5999</v>
      </c>
      <c r="B123" t="s">
        <v>139</v>
      </c>
      <c r="D123" s="4">
        <v>-1937375.11</v>
      </c>
      <c r="I123" s="6">
        <f t="shared" si="1"/>
        <v>-1937375.11</v>
      </c>
    </row>
    <row r="124" spans="1:9" x14ac:dyDescent="0.25">
      <c r="A124">
        <v>6000</v>
      </c>
      <c r="B124" t="s">
        <v>140</v>
      </c>
      <c r="D124" s="4">
        <v>28779686.489999998</v>
      </c>
      <c r="I124" s="6">
        <f t="shared" si="1"/>
        <v>28779686.489999998</v>
      </c>
    </row>
    <row r="125" spans="1:9" x14ac:dyDescent="0.25">
      <c r="A125">
        <v>6040</v>
      </c>
      <c r="B125" t="s">
        <v>141</v>
      </c>
      <c r="D125" s="4">
        <v>357141.27</v>
      </c>
      <c r="I125" s="6">
        <f t="shared" si="1"/>
        <v>357141.27</v>
      </c>
    </row>
    <row r="126" spans="1:9" x14ac:dyDescent="0.25">
      <c r="A126">
        <v>6045</v>
      </c>
      <c r="B126" t="s">
        <v>142</v>
      </c>
      <c r="D126" s="4">
        <v>2189109.2799999998</v>
      </c>
      <c r="I126" s="6">
        <f t="shared" si="1"/>
        <v>2189109.2799999998</v>
      </c>
    </row>
    <row r="127" spans="1:9" x14ac:dyDescent="0.25">
      <c r="A127">
        <v>6050</v>
      </c>
      <c r="B127" t="s">
        <v>143</v>
      </c>
      <c r="D127" s="4">
        <v>2590</v>
      </c>
      <c r="I127" s="6">
        <f t="shared" si="1"/>
        <v>2590</v>
      </c>
    </row>
    <row r="128" spans="1:9" x14ac:dyDescent="0.25">
      <c r="A128">
        <v>6065</v>
      </c>
      <c r="B128" t="s">
        <v>144</v>
      </c>
      <c r="D128" s="4">
        <v>2161518.83</v>
      </c>
      <c r="I128" s="6">
        <f t="shared" si="1"/>
        <v>2161518.83</v>
      </c>
    </row>
    <row r="129" spans="1:10" x14ac:dyDescent="0.25">
      <c r="A129">
        <v>6070</v>
      </c>
      <c r="B129" t="s">
        <v>145</v>
      </c>
      <c r="D129" s="4">
        <v>2872622.1</v>
      </c>
      <c r="I129" s="6">
        <f t="shared" si="1"/>
        <v>2872622.1</v>
      </c>
    </row>
    <row r="130" spans="1:10" x14ac:dyDescent="0.25">
      <c r="A130">
        <v>6074</v>
      </c>
      <c r="B130" t="s">
        <v>146</v>
      </c>
      <c r="D130" s="4">
        <v>10530.37</v>
      </c>
      <c r="I130" s="6">
        <f t="shared" si="1"/>
        <v>10530.37</v>
      </c>
    </row>
    <row r="131" spans="1:10" x14ac:dyDescent="0.25">
      <c r="A131">
        <v>6080</v>
      </c>
      <c r="B131" t="s">
        <v>147</v>
      </c>
      <c r="D131" s="4">
        <v>1566</v>
      </c>
      <c r="I131" s="6">
        <f t="shared" si="1"/>
        <v>1566</v>
      </c>
    </row>
    <row r="132" spans="1:10" x14ac:dyDescent="0.25">
      <c r="A132">
        <v>6082</v>
      </c>
      <c r="B132" t="s">
        <v>148</v>
      </c>
      <c r="D132" s="4">
        <v>6585.92</v>
      </c>
      <c r="I132" s="6">
        <f t="shared" si="1"/>
        <v>6585.92</v>
      </c>
    </row>
    <row r="133" spans="1:10" x14ac:dyDescent="0.25">
      <c r="A133">
        <v>6083</v>
      </c>
      <c r="B133" t="s">
        <v>149</v>
      </c>
      <c r="D133" s="4">
        <v>4954.88</v>
      </c>
      <c r="I133" s="6">
        <f t="shared" si="1"/>
        <v>4954.88</v>
      </c>
    </row>
    <row r="134" spans="1:10" x14ac:dyDescent="0.25">
      <c r="A134">
        <v>6100</v>
      </c>
      <c r="B134" t="s">
        <v>150</v>
      </c>
      <c r="D134" s="4">
        <v>78.27</v>
      </c>
      <c r="I134" s="6">
        <f t="shared" si="1"/>
        <v>78.27</v>
      </c>
    </row>
    <row r="135" spans="1:10" x14ac:dyDescent="0.25">
      <c r="A135">
        <v>6200</v>
      </c>
      <c r="B135" t="s">
        <v>151</v>
      </c>
      <c r="D135" s="4">
        <v>5190211.51</v>
      </c>
      <c r="I135" s="6">
        <f t="shared" si="1"/>
        <v>5190211.51</v>
      </c>
    </row>
    <row r="136" spans="1:10" x14ac:dyDescent="0.25">
      <c r="A136">
        <v>6250</v>
      </c>
      <c r="B136" t="s">
        <v>152</v>
      </c>
      <c r="D136" s="4">
        <v>1050000</v>
      </c>
      <c r="I136" s="6">
        <f t="shared" si="1"/>
        <v>1050000</v>
      </c>
    </row>
    <row r="137" spans="1:10" x14ac:dyDescent="0.25">
      <c r="A137">
        <v>6300</v>
      </c>
      <c r="B137" t="s">
        <v>153</v>
      </c>
      <c r="D137" s="4">
        <v>185021.7</v>
      </c>
      <c r="I137" s="6">
        <f t="shared" si="1"/>
        <v>185021.7</v>
      </c>
    </row>
    <row r="138" spans="1:10" x14ac:dyDescent="0.25">
      <c r="A138">
        <v>6305</v>
      </c>
      <c r="B138" t="s">
        <v>154</v>
      </c>
      <c r="D138" s="4">
        <v>-3137.38</v>
      </c>
      <c r="I138" s="6">
        <f t="shared" si="1"/>
        <v>-3137.38</v>
      </c>
    </row>
    <row r="139" spans="1:10" x14ac:dyDescent="0.25">
      <c r="A139">
        <v>7100</v>
      </c>
      <c r="B139" t="s">
        <v>155</v>
      </c>
      <c r="D139" s="4">
        <v>5572914.3600000003</v>
      </c>
      <c r="I139" s="6">
        <f t="shared" ref="I139:I202" si="2">SUM(D139:H139)</f>
        <v>5572914.3600000003</v>
      </c>
      <c r="J139" s="6"/>
    </row>
    <row r="140" spans="1:10" x14ac:dyDescent="0.25">
      <c r="A140">
        <v>7150</v>
      </c>
      <c r="B140" t="s">
        <v>156</v>
      </c>
      <c r="D140" s="4">
        <v>848646.73</v>
      </c>
      <c r="I140" s="6">
        <f t="shared" si="2"/>
        <v>848646.73</v>
      </c>
      <c r="J140" s="6"/>
    </row>
    <row r="141" spans="1:10" x14ac:dyDescent="0.25">
      <c r="A141">
        <v>7500</v>
      </c>
      <c r="B141" t="s">
        <v>157</v>
      </c>
      <c r="D141" s="4">
        <v>285881.59000000003</v>
      </c>
      <c r="I141" s="6">
        <f t="shared" si="2"/>
        <v>285881.59000000003</v>
      </c>
    </row>
    <row r="142" spans="1:10" x14ac:dyDescent="0.25">
      <c r="A142">
        <v>7505</v>
      </c>
      <c r="B142" t="s">
        <v>158</v>
      </c>
      <c r="D142" s="4">
        <v>2908037.21</v>
      </c>
      <c r="I142" s="6">
        <f t="shared" si="2"/>
        <v>2908037.21</v>
      </c>
    </row>
    <row r="143" spans="1:10" x14ac:dyDescent="0.25">
      <c r="A143">
        <v>7515</v>
      </c>
      <c r="B143" t="s">
        <v>159</v>
      </c>
      <c r="D143" s="4">
        <v>650816.54</v>
      </c>
      <c r="I143" s="6">
        <f t="shared" si="2"/>
        <v>650816.54</v>
      </c>
    </row>
    <row r="144" spans="1:10" x14ac:dyDescent="0.25">
      <c r="A144">
        <v>7520</v>
      </c>
      <c r="B144" t="s">
        <v>160</v>
      </c>
      <c r="D144" s="4">
        <v>128363.12</v>
      </c>
      <c r="I144" s="6">
        <f t="shared" si="2"/>
        <v>128363.12</v>
      </c>
    </row>
    <row r="145" spans="1:9" x14ac:dyDescent="0.25">
      <c r="A145">
        <v>7525</v>
      </c>
      <c r="B145" t="s">
        <v>161</v>
      </c>
      <c r="D145" s="4">
        <v>32952.75</v>
      </c>
      <c r="I145" s="6">
        <f t="shared" si="2"/>
        <v>32952.75</v>
      </c>
    </row>
    <row r="146" spans="1:9" x14ac:dyDescent="0.25">
      <c r="A146">
        <v>7530</v>
      </c>
      <c r="B146" t="s">
        <v>162</v>
      </c>
      <c r="D146" s="4">
        <v>2905101.19</v>
      </c>
      <c r="I146" s="6">
        <f t="shared" si="2"/>
        <v>2905101.19</v>
      </c>
    </row>
    <row r="147" spans="1:9" x14ac:dyDescent="0.25">
      <c r="A147">
        <v>7531</v>
      </c>
      <c r="B147" t="s">
        <v>163</v>
      </c>
      <c r="D147" s="4">
        <v>64161.17</v>
      </c>
      <c r="I147" s="6">
        <f t="shared" si="2"/>
        <v>64161.17</v>
      </c>
    </row>
    <row r="148" spans="1:9" x14ac:dyDescent="0.25">
      <c r="A148">
        <v>7532</v>
      </c>
      <c r="B148" t="s">
        <v>164</v>
      </c>
      <c r="D148" s="4">
        <v>-9.76</v>
      </c>
      <c r="I148" s="6">
        <f t="shared" si="2"/>
        <v>-9.76</v>
      </c>
    </row>
    <row r="149" spans="1:9" x14ac:dyDescent="0.25">
      <c r="A149">
        <v>7535</v>
      </c>
      <c r="B149" t="s">
        <v>165</v>
      </c>
      <c r="D149" s="4">
        <v>48616.72</v>
      </c>
      <c r="I149" s="6">
        <f t="shared" si="2"/>
        <v>48616.72</v>
      </c>
    </row>
    <row r="150" spans="1:9" x14ac:dyDescent="0.25">
      <c r="A150">
        <v>7540</v>
      </c>
      <c r="B150" t="s">
        <v>166</v>
      </c>
      <c r="D150" s="4">
        <v>115251.64</v>
      </c>
      <c r="I150" s="6">
        <f t="shared" si="2"/>
        <v>115251.64</v>
      </c>
    </row>
    <row r="151" spans="1:9" x14ac:dyDescent="0.25">
      <c r="A151">
        <v>7550</v>
      </c>
      <c r="B151" t="s">
        <v>167</v>
      </c>
      <c r="D151" s="4">
        <v>197544.28</v>
      </c>
      <c r="I151" s="6">
        <f t="shared" si="2"/>
        <v>197544.28</v>
      </c>
    </row>
    <row r="152" spans="1:9" x14ac:dyDescent="0.25">
      <c r="A152">
        <v>7555</v>
      </c>
      <c r="B152" t="s">
        <v>168</v>
      </c>
      <c r="D152" s="4">
        <v>52012.81</v>
      </c>
      <c r="I152" s="6">
        <f t="shared" si="2"/>
        <v>52012.81</v>
      </c>
    </row>
    <row r="153" spans="1:9" x14ac:dyDescent="0.25">
      <c r="A153">
        <v>7561</v>
      </c>
      <c r="B153" t="s">
        <v>169</v>
      </c>
      <c r="D153" s="4">
        <v>37784.28</v>
      </c>
      <c r="I153" s="6">
        <f t="shared" si="2"/>
        <v>37784.28</v>
      </c>
    </row>
    <row r="154" spans="1:9" x14ac:dyDescent="0.25">
      <c r="A154">
        <v>7800</v>
      </c>
      <c r="B154" t="s">
        <v>170</v>
      </c>
      <c r="D154" s="4">
        <v>4217472.09</v>
      </c>
      <c r="I154" s="6">
        <f t="shared" si="2"/>
        <v>4217472.09</v>
      </c>
    </row>
    <row r="155" spans="1:9" x14ac:dyDescent="0.25">
      <c r="A155">
        <v>7805</v>
      </c>
      <c r="B155" t="s">
        <v>171</v>
      </c>
      <c r="D155" s="4">
        <v>354.39</v>
      </c>
      <c r="I155" s="6">
        <f t="shared" si="2"/>
        <v>354.39</v>
      </c>
    </row>
    <row r="156" spans="1:9" x14ac:dyDescent="0.25">
      <c r="A156">
        <v>7815</v>
      </c>
      <c r="B156" t="s">
        <v>172</v>
      </c>
      <c r="D156" s="4">
        <v>232.97</v>
      </c>
      <c r="I156" s="6">
        <f t="shared" si="2"/>
        <v>232.97</v>
      </c>
    </row>
    <row r="157" spans="1:9" x14ac:dyDescent="0.25">
      <c r="A157">
        <v>7825</v>
      </c>
      <c r="B157" t="s">
        <v>173</v>
      </c>
      <c r="D157" s="4">
        <v>1188854.98</v>
      </c>
      <c r="I157" s="6">
        <f t="shared" si="2"/>
        <v>1188854.98</v>
      </c>
    </row>
    <row r="158" spans="1:9" x14ac:dyDescent="0.25">
      <c r="A158">
        <v>7830</v>
      </c>
      <c r="B158" t="s">
        <v>174</v>
      </c>
      <c r="D158" s="4">
        <v>66796.800000000003</v>
      </c>
      <c r="I158" s="6">
        <f t="shared" si="2"/>
        <v>66796.800000000003</v>
      </c>
    </row>
    <row r="159" spans="1:9" x14ac:dyDescent="0.25">
      <c r="A159">
        <v>7831</v>
      </c>
      <c r="B159" t="s">
        <v>175</v>
      </c>
      <c r="D159" s="4">
        <v>-114.37</v>
      </c>
      <c r="I159" s="6">
        <f t="shared" si="2"/>
        <v>-114.37</v>
      </c>
    </row>
    <row r="160" spans="1:9" x14ac:dyDescent="0.25">
      <c r="A160">
        <v>7832</v>
      </c>
      <c r="B160" t="s">
        <v>176</v>
      </c>
      <c r="D160" s="4">
        <v>30347.919999999998</v>
      </c>
      <c r="I160" s="6">
        <f t="shared" si="2"/>
        <v>30347.919999999998</v>
      </c>
    </row>
    <row r="161" spans="1:9" x14ac:dyDescent="0.25">
      <c r="A161">
        <v>7835</v>
      </c>
      <c r="B161" t="s">
        <v>177</v>
      </c>
      <c r="D161" s="4">
        <v>19325.87</v>
      </c>
      <c r="I161" s="6">
        <f t="shared" si="2"/>
        <v>19325.87</v>
      </c>
    </row>
    <row r="162" spans="1:9" x14ac:dyDescent="0.25">
      <c r="A162">
        <v>7836</v>
      </c>
      <c r="B162" t="s">
        <v>178</v>
      </c>
      <c r="D162" s="4">
        <v>311.64999999999998</v>
      </c>
      <c r="I162" s="6">
        <f t="shared" si="2"/>
        <v>311.64999999999998</v>
      </c>
    </row>
    <row r="163" spans="1:9" x14ac:dyDescent="0.25">
      <c r="A163">
        <v>7840</v>
      </c>
      <c r="B163" t="s">
        <v>179</v>
      </c>
      <c r="D163" s="4">
        <v>1567939.4</v>
      </c>
      <c r="I163" s="6">
        <f t="shared" si="2"/>
        <v>1567939.4</v>
      </c>
    </row>
    <row r="164" spans="1:9" x14ac:dyDescent="0.25">
      <c r="A164">
        <v>7845</v>
      </c>
      <c r="B164" t="s">
        <v>180</v>
      </c>
      <c r="D164" s="4">
        <v>258982.06</v>
      </c>
      <c r="I164" s="6">
        <f t="shared" si="2"/>
        <v>258982.06</v>
      </c>
    </row>
    <row r="165" spans="1:9" x14ac:dyDescent="0.25">
      <c r="A165">
        <v>7846</v>
      </c>
      <c r="B165" t="s">
        <v>181</v>
      </c>
      <c r="D165" s="4">
        <v>602252.31999999995</v>
      </c>
      <c r="I165" s="6">
        <f t="shared" si="2"/>
        <v>602252.31999999995</v>
      </c>
    </row>
    <row r="166" spans="1:9" x14ac:dyDescent="0.25">
      <c r="A166">
        <v>7847</v>
      </c>
      <c r="B166" t="s">
        <v>182</v>
      </c>
      <c r="D166" s="4">
        <v>25809.96</v>
      </c>
      <c r="I166" s="6">
        <f t="shared" si="2"/>
        <v>25809.96</v>
      </c>
    </row>
    <row r="167" spans="1:9" x14ac:dyDescent="0.25">
      <c r="A167">
        <v>7850</v>
      </c>
      <c r="B167" t="s">
        <v>183</v>
      </c>
      <c r="D167" s="4">
        <v>2464.8000000000002</v>
      </c>
      <c r="I167" s="6">
        <f t="shared" si="2"/>
        <v>2464.8000000000002</v>
      </c>
    </row>
    <row r="168" spans="1:9" x14ac:dyDescent="0.25">
      <c r="A168">
        <v>7851</v>
      </c>
      <c r="B168" t="s">
        <v>184</v>
      </c>
      <c r="D168" s="4">
        <v>4256.9399999999996</v>
      </c>
      <c r="I168" s="6">
        <f t="shared" si="2"/>
        <v>4256.9399999999996</v>
      </c>
    </row>
    <row r="169" spans="1:9" x14ac:dyDescent="0.25">
      <c r="A169">
        <v>7855</v>
      </c>
      <c r="B169" t="s">
        <v>185</v>
      </c>
      <c r="D169" s="4">
        <v>601</v>
      </c>
      <c r="I169" s="6">
        <f t="shared" si="2"/>
        <v>601</v>
      </c>
    </row>
    <row r="170" spans="1:9" x14ac:dyDescent="0.25">
      <c r="A170">
        <v>7865</v>
      </c>
      <c r="B170" t="s">
        <v>186</v>
      </c>
      <c r="D170" s="4">
        <v>2208.3000000000002</v>
      </c>
      <c r="I170" s="6">
        <f t="shared" si="2"/>
        <v>2208.3000000000002</v>
      </c>
    </row>
    <row r="171" spans="1:9" x14ac:dyDescent="0.25">
      <c r="A171">
        <v>7870</v>
      </c>
      <c r="B171" t="s">
        <v>187</v>
      </c>
      <c r="D171" s="4">
        <v>509685.09</v>
      </c>
      <c r="I171" s="6">
        <f t="shared" si="2"/>
        <v>509685.09</v>
      </c>
    </row>
    <row r="172" spans="1:9" x14ac:dyDescent="0.25">
      <c r="A172">
        <v>7875</v>
      </c>
      <c r="B172" t="s">
        <v>188</v>
      </c>
      <c r="D172" s="4">
        <v>145629.85</v>
      </c>
      <c r="I172" s="6">
        <f t="shared" si="2"/>
        <v>145629.85</v>
      </c>
    </row>
    <row r="173" spans="1:9" x14ac:dyDescent="0.25">
      <c r="A173">
        <v>7899</v>
      </c>
      <c r="B173" t="s">
        <v>299</v>
      </c>
      <c r="D173" s="4">
        <v>-5050986.5599999996</v>
      </c>
      <c r="F173" t="s">
        <v>309</v>
      </c>
      <c r="G173" t="s">
        <v>309</v>
      </c>
      <c r="I173" s="6">
        <f t="shared" si="2"/>
        <v>-5050986.5599999996</v>
      </c>
    </row>
    <row r="174" spans="1:9" x14ac:dyDescent="0.25">
      <c r="A174">
        <v>7999</v>
      </c>
      <c r="B174" t="s">
        <v>189</v>
      </c>
      <c r="D174" s="4">
        <v>1411083.94</v>
      </c>
      <c r="I174" s="6">
        <f t="shared" si="2"/>
        <v>1411083.94</v>
      </c>
    </row>
    <row r="175" spans="1:9" x14ac:dyDescent="0.25">
      <c r="A175">
        <v>8000</v>
      </c>
      <c r="B175" t="s">
        <v>190</v>
      </c>
      <c r="D175" s="4">
        <v>29450.47</v>
      </c>
      <c r="I175" s="6">
        <f t="shared" si="2"/>
        <v>29450.47</v>
      </c>
    </row>
    <row r="176" spans="1:9" x14ac:dyDescent="0.25">
      <c r="A176">
        <v>8015</v>
      </c>
      <c r="B176" t="s">
        <v>191</v>
      </c>
      <c r="D176" s="4">
        <v>6566492.8600000003</v>
      </c>
      <c r="I176" s="6">
        <f t="shared" si="2"/>
        <v>6566492.8600000003</v>
      </c>
    </row>
    <row r="177" spans="1:9" x14ac:dyDescent="0.25">
      <c r="A177">
        <v>8020</v>
      </c>
      <c r="B177" t="s">
        <v>192</v>
      </c>
      <c r="D177" s="4">
        <v>2092.6</v>
      </c>
      <c r="I177" s="6">
        <f t="shared" si="2"/>
        <v>2092.6</v>
      </c>
    </row>
    <row r="178" spans="1:9" x14ac:dyDescent="0.25">
      <c r="A178">
        <v>8030</v>
      </c>
      <c r="B178" t="s">
        <v>193</v>
      </c>
      <c r="D178" s="4">
        <v>215.33</v>
      </c>
      <c r="I178" s="6">
        <f t="shared" si="2"/>
        <v>215.33</v>
      </c>
    </row>
    <row r="179" spans="1:9" x14ac:dyDescent="0.25">
      <c r="A179">
        <v>8035</v>
      </c>
      <c r="B179" t="s">
        <v>194</v>
      </c>
      <c r="D179" s="4">
        <v>229</v>
      </c>
      <c r="I179" s="6">
        <f t="shared" si="2"/>
        <v>229</v>
      </c>
    </row>
    <row r="180" spans="1:9" x14ac:dyDescent="0.25">
      <c r="A180">
        <v>8045</v>
      </c>
      <c r="B180" t="s">
        <v>195</v>
      </c>
      <c r="D180" s="4">
        <v>1886.24</v>
      </c>
      <c r="I180" s="6">
        <f t="shared" si="2"/>
        <v>1886.24</v>
      </c>
    </row>
    <row r="181" spans="1:9" x14ac:dyDescent="0.25">
      <c r="A181">
        <v>8046</v>
      </c>
      <c r="B181" t="s">
        <v>196</v>
      </c>
      <c r="D181" s="4">
        <v>316884.01</v>
      </c>
      <c r="I181" s="6">
        <f t="shared" si="2"/>
        <v>316884.01</v>
      </c>
    </row>
    <row r="182" spans="1:9" x14ac:dyDescent="0.25">
      <c r="A182">
        <v>8050</v>
      </c>
      <c r="B182" t="s">
        <v>197</v>
      </c>
      <c r="D182" s="4">
        <v>767527.06</v>
      </c>
      <c r="I182" s="6">
        <f t="shared" si="2"/>
        <v>767527.06</v>
      </c>
    </row>
    <row r="183" spans="1:9" x14ac:dyDescent="0.25">
      <c r="A183">
        <v>8100</v>
      </c>
      <c r="B183" t="s">
        <v>198</v>
      </c>
      <c r="D183" s="4">
        <v>18125</v>
      </c>
      <c r="I183" s="6">
        <f t="shared" si="2"/>
        <v>18125</v>
      </c>
    </row>
    <row r="184" spans="1:9" x14ac:dyDescent="0.25">
      <c r="A184">
        <v>8110</v>
      </c>
      <c r="B184" t="s">
        <v>199</v>
      </c>
      <c r="D184" s="4">
        <v>21000</v>
      </c>
      <c r="I184" s="6">
        <f t="shared" si="2"/>
        <v>21000</v>
      </c>
    </row>
    <row r="185" spans="1:9" x14ac:dyDescent="0.25">
      <c r="A185">
        <v>8115</v>
      </c>
      <c r="B185" t="s">
        <v>200</v>
      </c>
      <c r="D185" s="4">
        <v>650366.19999999995</v>
      </c>
      <c r="I185" s="6">
        <f t="shared" si="2"/>
        <v>650366.19999999995</v>
      </c>
    </row>
    <row r="186" spans="1:9" x14ac:dyDescent="0.25">
      <c r="A186">
        <v>8117</v>
      </c>
      <c r="B186" t="s">
        <v>201</v>
      </c>
      <c r="D186" s="4">
        <v>7079.2</v>
      </c>
      <c r="I186" s="6">
        <f t="shared" si="2"/>
        <v>7079.2</v>
      </c>
    </row>
    <row r="187" spans="1:9" x14ac:dyDescent="0.25">
      <c r="A187">
        <v>8120</v>
      </c>
      <c r="B187" t="s">
        <v>202</v>
      </c>
      <c r="D187" s="4">
        <v>6197019.2999999998</v>
      </c>
      <c r="I187" s="6">
        <f t="shared" si="2"/>
        <v>6197019.2999999998</v>
      </c>
    </row>
    <row r="188" spans="1:9" x14ac:dyDescent="0.25">
      <c r="A188">
        <v>8125</v>
      </c>
      <c r="B188" t="s">
        <v>203</v>
      </c>
      <c r="D188" s="4">
        <v>1286896.1200000001</v>
      </c>
      <c r="I188" s="6">
        <f t="shared" si="2"/>
        <v>1286896.1200000001</v>
      </c>
    </row>
    <row r="189" spans="1:9" x14ac:dyDescent="0.25">
      <c r="A189">
        <v>8130</v>
      </c>
      <c r="B189" t="s">
        <v>204</v>
      </c>
      <c r="D189" s="4">
        <v>609701.74</v>
      </c>
      <c r="I189" s="6">
        <f t="shared" si="2"/>
        <v>609701.74</v>
      </c>
    </row>
    <row r="190" spans="1:9" x14ac:dyDescent="0.25">
      <c r="A190">
        <v>8140</v>
      </c>
      <c r="B190" t="s">
        <v>205</v>
      </c>
      <c r="D190" s="4">
        <v>16775.13</v>
      </c>
      <c r="I190" s="6">
        <f t="shared" si="2"/>
        <v>16775.13</v>
      </c>
    </row>
    <row r="191" spans="1:9" s="7" customFormat="1" x14ac:dyDescent="0.25">
      <c r="A191" s="7">
        <v>8150</v>
      </c>
      <c r="B191" s="7" t="s">
        <v>206</v>
      </c>
      <c r="D191" s="8">
        <v>26912.22</v>
      </c>
      <c r="I191" s="9">
        <f t="shared" si="2"/>
        <v>26912.22</v>
      </c>
    </row>
    <row r="192" spans="1:9" x14ac:dyDescent="0.25">
      <c r="A192">
        <v>8200</v>
      </c>
      <c r="B192" t="s">
        <v>207</v>
      </c>
      <c r="D192" s="4">
        <v>230131.96</v>
      </c>
      <c r="I192" s="6">
        <f t="shared" si="2"/>
        <v>230131.96</v>
      </c>
    </row>
    <row r="193" spans="1:9" x14ac:dyDescent="0.25">
      <c r="A193">
        <v>8205</v>
      </c>
      <c r="B193" t="s">
        <v>208</v>
      </c>
      <c r="D193" s="4">
        <v>72411.11</v>
      </c>
      <c r="I193" s="6">
        <f t="shared" si="2"/>
        <v>72411.11</v>
      </c>
    </row>
    <row r="194" spans="1:9" x14ac:dyDescent="0.25">
      <c r="A194">
        <v>8300</v>
      </c>
      <c r="B194" t="s">
        <v>209</v>
      </c>
      <c r="D194" s="4">
        <v>194695.64</v>
      </c>
      <c r="I194" s="6">
        <f t="shared" si="2"/>
        <v>194695.64</v>
      </c>
    </row>
    <row r="195" spans="1:9" x14ac:dyDescent="0.25">
      <c r="A195">
        <v>8301</v>
      </c>
      <c r="B195" t="s">
        <v>210</v>
      </c>
      <c r="D195" s="4">
        <v>131281.07999999999</v>
      </c>
      <c r="I195" s="6">
        <f t="shared" si="2"/>
        <v>131281.07999999999</v>
      </c>
    </row>
    <row r="196" spans="1:9" x14ac:dyDescent="0.25">
      <c r="A196">
        <v>8302</v>
      </c>
      <c r="B196" t="s">
        <v>211</v>
      </c>
      <c r="D196" s="4">
        <v>280969.59000000003</v>
      </c>
      <c r="I196" s="6">
        <f t="shared" si="2"/>
        <v>280969.59000000003</v>
      </c>
    </row>
    <row r="197" spans="1:9" x14ac:dyDescent="0.25">
      <c r="A197">
        <v>8304</v>
      </c>
      <c r="B197" t="s">
        <v>212</v>
      </c>
      <c r="D197" s="4">
        <v>11153.31</v>
      </c>
      <c r="I197" s="6">
        <f t="shared" si="2"/>
        <v>11153.31</v>
      </c>
    </row>
    <row r="198" spans="1:9" x14ac:dyDescent="0.25">
      <c r="A198">
        <v>8305</v>
      </c>
      <c r="B198" t="s">
        <v>213</v>
      </c>
      <c r="D198" s="4">
        <v>395896.9</v>
      </c>
      <c r="I198" s="6">
        <f t="shared" si="2"/>
        <v>395896.9</v>
      </c>
    </row>
    <row r="199" spans="1:9" x14ac:dyDescent="0.25">
      <c r="A199">
        <v>8306</v>
      </c>
      <c r="B199" t="s">
        <v>214</v>
      </c>
      <c r="D199" s="4">
        <v>62017.13</v>
      </c>
      <c r="I199" s="6">
        <f t="shared" si="2"/>
        <v>62017.13</v>
      </c>
    </row>
    <row r="200" spans="1:9" x14ac:dyDescent="0.25">
      <c r="A200">
        <v>8307</v>
      </c>
      <c r="B200" t="s">
        <v>215</v>
      </c>
      <c r="D200" s="4">
        <v>25961.03</v>
      </c>
      <c r="I200" s="6">
        <f t="shared" si="2"/>
        <v>25961.03</v>
      </c>
    </row>
    <row r="201" spans="1:9" x14ac:dyDescent="0.25">
      <c r="A201">
        <v>8310</v>
      </c>
      <c r="B201" t="s">
        <v>216</v>
      </c>
      <c r="D201" s="4">
        <v>280612.03000000003</v>
      </c>
      <c r="I201" s="6">
        <f t="shared" si="2"/>
        <v>280612.03000000003</v>
      </c>
    </row>
    <row r="202" spans="1:9" x14ac:dyDescent="0.25">
      <c r="A202">
        <v>8315</v>
      </c>
      <c r="B202" t="s">
        <v>217</v>
      </c>
      <c r="D202" s="4">
        <v>522590.44</v>
      </c>
      <c r="I202" s="6">
        <f t="shared" si="2"/>
        <v>522590.44</v>
      </c>
    </row>
    <row r="203" spans="1:9" x14ac:dyDescent="0.25">
      <c r="A203">
        <v>8401</v>
      </c>
      <c r="B203" t="s">
        <v>218</v>
      </c>
      <c r="D203" s="4">
        <v>121926.47</v>
      </c>
      <c r="I203" s="6">
        <f t="shared" ref="I203:I237" si="3">SUM(D203:H203)</f>
        <v>121926.47</v>
      </c>
    </row>
    <row r="204" spans="1:9" x14ac:dyDescent="0.25">
      <c r="A204">
        <v>8405</v>
      </c>
      <c r="B204" t="s">
        <v>219</v>
      </c>
      <c r="D204" s="4">
        <v>250056.76</v>
      </c>
      <c r="I204" s="6">
        <f t="shared" si="3"/>
        <v>250056.76</v>
      </c>
    </row>
    <row r="205" spans="1:9" x14ac:dyDescent="0.25">
      <c r="A205">
        <v>8406</v>
      </c>
      <c r="B205" t="s">
        <v>220</v>
      </c>
      <c r="D205" s="4">
        <v>31478.27</v>
      </c>
      <c r="I205" s="6">
        <f t="shared" si="3"/>
        <v>31478.27</v>
      </c>
    </row>
    <row r="206" spans="1:9" x14ac:dyDescent="0.25">
      <c r="A206">
        <v>8410</v>
      </c>
      <c r="B206" t="s">
        <v>221</v>
      </c>
      <c r="D206" s="4">
        <v>52879.32</v>
      </c>
      <c r="I206" s="6">
        <f t="shared" si="3"/>
        <v>52879.32</v>
      </c>
    </row>
    <row r="207" spans="1:9" x14ac:dyDescent="0.25">
      <c r="A207">
        <v>8411</v>
      </c>
      <c r="B207" t="s">
        <v>222</v>
      </c>
      <c r="D207" s="4">
        <v>239.8</v>
      </c>
      <c r="I207" s="6">
        <f t="shared" si="3"/>
        <v>239.8</v>
      </c>
    </row>
    <row r="208" spans="1:9" x14ac:dyDescent="0.25">
      <c r="A208">
        <v>8415</v>
      </c>
      <c r="B208" t="s">
        <v>223</v>
      </c>
      <c r="D208" s="4">
        <v>154922.72</v>
      </c>
      <c r="I208" s="6">
        <f t="shared" si="3"/>
        <v>154922.72</v>
      </c>
    </row>
    <row r="209" spans="1:9" x14ac:dyDescent="0.25">
      <c r="A209">
        <v>8420</v>
      </c>
      <c r="B209" t="s">
        <v>224</v>
      </c>
      <c r="D209" s="4">
        <v>114859.99</v>
      </c>
      <c r="I209" s="6">
        <f t="shared" si="3"/>
        <v>114859.99</v>
      </c>
    </row>
    <row r="210" spans="1:9" x14ac:dyDescent="0.25">
      <c r="A210">
        <v>8425</v>
      </c>
      <c r="B210" t="s">
        <v>225</v>
      </c>
      <c r="D210" s="4">
        <v>433626.13</v>
      </c>
      <c r="I210" s="6">
        <f t="shared" si="3"/>
        <v>433626.13</v>
      </c>
    </row>
    <row r="211" spans="1:9" x14ac:dyDescent="0.25">
      <c r="A211">
        <v>8430</v>
      </c>
      <c r="B211" t="s">
        <v>226</v>
      </c>
      <c r="D211" s="4">
        <v>115502.3</v>
      </c>
      <c r="I211" s="6">
        <f t="shared" si="3"/>
        <v>115502.3</v>
      </c>
    </row>
    <row r="212" spans="1:9" x14ac:dyDescent="0.25">
      <c r="A212">
        <v>8500</v>
      </c>
      <c r="B212" t="s">
        <v>227</v>
      </c>
      <c r="D212" s="4">
        <v>24763.37</v>
      </c>
      <c r="I212" s="6">
        <f t="shared" si="3"/>
        <v>24763.37</v>
      </c>
    </row>
    <row r="213" spans="1:9" x14ac:dyDescent="0.25">
      <c r="A213">
        <v>8505</v>
      </c>
      <c r="B213" t="s">
        <v>228</v>
      </c>
      <c r="D213" s="4">
        <v>552946.73</v>
      </c>
      <c r="I213" s="6">
        <f t="shared" si="3"/>
        <v>552946.73</v>
      </c>
    </row>
    <row r="214" spans="1:9" x14ac:dyDescent="0.25">
      <c r="A214">
        <v>8550</v>
      </c>
      <c r="B214" t="s">
        <v>229</v>
      </c>
      <c r="D214" s="4">
        <v>41993.96</v>
      </c>
      <c r="I214" s="6">
        <f t="shared" si="3"/>
        <v>41993.96</v>
      </c>
    </row>
    <row r="215" spans="1:9" x14ac:dyDescent="0.25">
      <c r="A215">
        <v>8551</v>
      </c>
      <c r="B215" t="s">
        <v>230</v>
      </c>
      <c r="D215" s="4">
        <v>68.23</v>
      </c>
      <c r="I215" s="6">
        <f t="shared" si="3"/>
        <v>68.23</v>
      </c>
    </row>
    <row r="216" spans="1:9" x14ac:dyDescent="0.25">
      <c r="A216">
        <v>8600</v>
      </c>
      <c r="B216" t="s">
        <v>231</v>
      </c>
      <c r="D216" s="4">
        <v>370702.73</v>
      </c>
      <c r="I216" s="6">
        <f t="shared" si="3"/>
        <v>370702.73</v>
      </c>
    </row>
    <row r="217" spans="1:9" x14ac:dyDescent="0.25">
      <c r="A217">
        <v>8601</v>
      </c>
      <c r="B217" t="s">
        <v>232</v>
      </c>
      <c r="D217" s="4">
        <v>178361.18</v>
      </c>
      <c r="I217" s="6">
        <f t="shared" si="3"/>
        <v>178361.18</v>
      </c>
    </row>
    <row r="218" spans="1:9" x14ac:dyDescent="0.25">
      <c r="A218">
        <v>8605</v>
      </c>
      <c r="B218" t="s">
        <v>233</v>
      </c>
      <c r="D218" s="4">
        <v>125164.35</v>
      </c>
      <c r="I218" s="6">
        <f t="shared" si="3"/>
        <v>125164.35</v>
      </c>
    </row>
    <row r="219" spans="1:9" x14ac:dyDescent="0.25">
      <c r="A219">
        <v>8607</v>
      </c>
      <c r="B219" t="s">
        <v>234</v>
      </c>
      <c r="D219" s="4">
        <v>86842.05</v>
      </c>
      <c r="I219" s="6">
        <f t="shared" si="3"/>
        <v>86842.05</v>
      </c>
    </row>
    <row r="220" spans="1:9" s="7" customFormat="1" x14ac:dyDescent="0.25">
      <c r="A220" s="7">
        <v>8610</v>
      </c>
      <c r="B220" s="7" t="s">
        <v>235</v>
      </c>
      <c r="D220" s="8">
        <v>23011.599999999999</v>
      </c>
      <c r="I220" s="9">
        <f t="shared" si="3"/>
        <v>23011.599999999999</v>
      </c>
    </row>
    <row r="221" spans="1:9" x14ac:dyDescent="0.25">
      <c r="A221">
        <v>8615</v>
      </c>
      <c r="B221" t="s">
        <v>236</v>
      </c>
      <c r="D221" s="4">
        <v>2638</v>
      </c>
      <c r="I221" s="6">
        <f t="shared" si="3"/>
        <v>2638</v>
      </c>
    </row>
    <row r="222" spans="1:9" x14ac:dyDescent="0.25">
      <c r="A222">
        <v>8620</v>
      </c>
      <c r="B222" t="s">
        <v>237</v>
      </c>
      <c r="D222" s="4">
        <v>322.5</v>
      </c>
      <c r="I222" s="6">
        <f t="shared" si="3"/>
        <v>322.5</v>
      </c>
    </row>
    <row r="223" spans="1:9" x14ac:dyDescent="0.25">
      <c r="A223">
        <v>8710</v>
      </c>
      <c r="B223" t="s">
        <v>238</v>
      </c>
      <c r="D223" s="4">
        <v>57188.66</v>
      </c>
      <c r="I223" s="6">
        <f t="shared" si="3"/>
        <v>57188.66</v>
      </c>
    </row>
    <row r="224" spans="1:9" x14ac:dyDescent="0.25">
      <c r="A224">
        <v>8715</v>
      </c>
      <c r="B224" t="s">
        <v>239</v>
      </c>
      <c r="D224" s="4">
        <v>2500</v>
      </c>
      <c r="I224" s="6">
        <f t="shared" si="3"/>
        <v>2500</v>
      </c>
    </row>
    <row r="225" spans="1:9" x14ac:dyDescent="0.25">
      <c r="A225">
        <v>8720</v>
      </c>
      <c r="B225" t="s">
        <v>240</v>
      </c>
      <c r="D225" s="4">
        <v>80128.94</v>
      </c>
      <c r="I225" s="6">
        <f t="shared" si="3"/>
        <v>80128.94</v>
      </c>
    </row>
    <row r="226" spans="1:9" x14ac:dyDescent="0.25">
      <c r="A226">
        <v>8725</v>
      </c>
      <c r="B226" t="s">
        <v>241</v>
      </c>
      <c r="D226" s="4">
        <v>487172.13</v>
      </c>
      <c r="I226" s="6">
        <f t="shared" si="3"/>
        <v>487172.13</v>
      </c>
    </row>
    <row r="227" spans="1:9" x14ac:dyDescent="0.25">
      <c r="A227">
        <v>8800</v>
      </c>
      <c r="B227" t="s">
        <v>242</v>
      </c>
      <c r="D227" s="4">
        <v>1574094.08</v>
      </c>
      <c r="I227" s="6">
        <f t="shared" si="3"/>
        <v>1574094.08</v>
      </c>
    </row>
    <row r="228" spans="1:9" x14ac:dyDescent="0.25">
      <c r="A228">
        <v>8805</v>
      </c>
      <c r="B228" t="s">
        <v>243</v>
      </c>
      <c r="D228" s="4">
        <v>53053.46</v>
      </c>
      <c r="I228" s="6">
        <f t="shared" si="3"/>
        <v>53053.46</v>
      </c>
    </row>
    <row r="229" spans="1:9" x14ac:dyDescent="0.25">
      <c r="A229">
        <v>8810</v>
      </c>
      <c r="B229" t="s">
        <v>244</v>
      </c>
      <c r="D229" s="4">
        <v>201.63</v>
      </c>
      <c r="I229" s="6">
        <f t="shared" si="3"/>
        <v>201.63</v>
      </c>
    </row>
    <row r="230" spans="1:9" x14ac:dyDescent="0.25">
      <c r="A230">
        <v>8899</v>
      </c>
      <c r="B230" t="s">
        <v>245</v>
      </c>
      <c r="D230" s="4">
        <v>1742894.25</v>
      </c>
      <c r="I230" s="6">
        <f t="shared" si="3"/>
        <v>1742894.25</v>
      </c>
    </row>
    <row r="231" spans="1:9" x14ac:dyDescent="0.25">
      <c r="A231">
        <v>9100</v>
      </c>
      <c r="B231" t="s">
        <v>246</v>
      </c>
      <c r="D231" s="4">
        <v>-366536.4</v>
      </c>
      <c r="F231">
        <v>323763.40999999997</v>
      </c>
      <c r="I231" s="6">
        <f t="shared" si="3"/>
        <v>-42772.990000000049</v>
      </c>
    </row>
    <row r="232" spans="1:9" x14ac:dyDescent="0.25">
      <c r="A232">
        <v>9105</v>
      </c>
      <c r="B232" t="s">
        <v>247</v>
      </c>
      <c r="D232" s="4">
        <v>367867.25</v>
      </c>
      <c r="I232" s="6">
        <f t="shared" si="3"/>
        <v>367867.25</v>
      </c>
    </row>
    <row r="233" spans="1:9" x14ac:dyDescent="0.25">
      <c r="A233">
        <v>9500</v>
      </c>
      <c r="B233" t="s">
        <v>248</v>
      </c>
      <c r="D233" s="4">
        <v>800</v>
      </c>
      <c r="I233" s="6">
        <f t="shared" si="3"/>
        <v>800</v>
      </c>
    </row>
    <row r="234" spans="1:9" x14ac:dyDescent="0.25">
      <c r="A234">
        <v>9987</v>
      </c>
      <c r="B234" t="s">
        <v>249</v>
      </c>
      <c r="D234" s="4">
        <v>25</v>
      </c>
      <c r="I234" s="6">
        <f t="shared" si="3"/>
        <v>25</v>
      </c>
    </row>
    <row r="235" spans="1:9" x14ac:dyDescent="0.25">
      <c r="A235">
        <v>9991</v>
      </c>
      <c r="B235" t="s">
        <v>250</v>
      </c>
      <c r="D235" s="4">
        <v>99.97</v>
      </c>
      <c r="I235" s="6">
        <f t="shared" si="3"/>
        <v>99.97</v>
      </c>
    </row>
    <row r="236" spans="1:9" x14ac:dyDescent="0.25">
      <c r="A236">
        <v>9996</v>
      </c>
      <c r="B236" t="s">
        <v>251</v>
      </c>
      <c r="D236" s="4">
        <v>0.05</v>
      </c>
      <c r="I236" s="6">
        <f t="shared" si="3"/>
        <v>0.05</v>
      </c>
    </row>
    <row r="237" spans="1:9" x14ac:dyDescent="0.25">
      <c r="A237">
        <v>9999</v>
      </c>
      <c r="B237" t="s">
        <v>252</v>
      </c>
      <c r="D237" s="4">
        <v>-99120.66</v>
      </c>
      <c r="I237" s="6">
        <f t="shared" si="3"/>
        <v>-99120.66</v>
      </c>
    </row>
    <row r="238" spans="1:9" x14ac:dyDescent="0.25">
      <c r="A238">
        <v>8900</v>
      </c>
      <c r="B238" t="s">
        <v>400</v>
      </c>
      <c r="D238">
        <v>-7292920</v>
      </c>
    </row>
    <row r="239" spans="1:9" x14ac:dyDescent="0.25">
      <c r="A239">
        <v>8905</v>
      </c>
      <c r="B239" t="s">
        <v>401</v>
      </c>
      <c r="D239">
        <v>7292920</v>
      </c>
    </row>
    <row r="240" spans="1:9" x14ac:dyDescent="0.25">
      <c r="A240">
        <v>8910</v>
      </c>
      <c r="B240" t="s">
        <v>402</v>
      </c>
      <c r="D240">
        <v>-7823975.29</v>
      </c>
    </row>
    <row r="241" spans="1:4" x14ac:dyDescent="0.25">
      <c r="A241">
        <v>8915</v>
      </c>
      <c r="B241" t="s">
        <v>403</v>
      </c>
      <c r="D241">
        <v>7823975.29</v>
      </c>
    </row>
    <row r="242" spans="1:4" x14ac:dyDescent="0.25">
      <c r="A242">
        <v>8920</v>
      </c>
      <c r="B242" t="s">
        <v>404</v>
      </c>
      <c r="D242">
        <v>-2746188.99</v>
      </c>
    </row>
    <row r="243" spans="1:4" x14ac:dyDescent="0.25">
      <c r="A243">
        <v>8925</v>
      </c>
      <c r="B243" t="s">
        <v>405</v>
      </c>
      <c r="D243">
        <v>2746188.99</v>
      </c>
    </row>
  </sheetData>
  <sortState ref="A11:I314">
    <sortCondition ref="A1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6"/>
  <sheetViews>
    <sheetView topLeftCell="A9" workbookViewId="0">
      <selection activeCell="F43" sqref="F43"/>
    </sheetView>
  </sheetViews>
  <sheetFormatPr defaultRowHeight="15" x14ac:dyDescent="0.25"/>
  <cols>
    <col min="2" max="2" width="24.85546875" bestFit="1" customWidth="1"/>
    <col min="3" max="3" width="19.28515625" bestFit="1" customWidth="1"/>
  </cols>
  <sheetData>
    <row r="1" spans="1:3" x14ac:dyDescent="0.25">
      <c r="A1" t="s">
        <v>0</v>
      </c>
    </row>
    <row r="2" spans="1:3" x14ac:dyDescent="0.25">
      <c r="A2" t="s">
        <v>4</v>
      </c>
    </row>
    <row r="4" spans="1:3" x14ac:dyDescent="0.25">
      <c r="A4" t="s">
        <v>8</v>
      </c>
    </row>
    <row r="8" spans="1:3" x14ac:dyDescent="0.25">
      <c r="C8" t="s">
        <v>12</v>
      </c>
    </row>
    <row r="9" spans="1:3" x14ac:dyDescent="0.25">
      <c r="A9" t="s">
        <v>267</v>
      </c>
      <c r="B9" t="s">
        <v>268</v>
      </c>
      <c r="C9" s="1">
        <v>41639</v>
      </c>
    </row>
    <row r="10" spans="1:3" x14ac:dyDescent="0.25">
      <c r="A10" t="s">
        <v>254</v>
      </c>
      <c r="B10" t="s">
        <v>269</v>
      </c>
      <c r="C10" t="s">
        <v>18</v>
      </c>
    </row>
    <row r="11" spans="1:3" x14ac:dyDescent="0.25">
      <c r="A11">
        <v>1025</v>
      </c>
      <c r="B11" t="s">
        <v>22</v>
      </c>
      <c r="C11" s="2">
        <f>3872.05+4160000-4158284.55</f>
        <v>5587.5</v>
      </c>
    </row>
    <row r="12" spans="1:3" x14ac:dyDescent="0.25">
      <c r="A12">
        <v>1170</v>
      </c>
      <c r="B12" t="s">
        <v>29</v>
      </c>
      <c r="C12" s="2">
        <f>909816.46-909816.46</f>
        <v>0</v>
      </c>
    </row>
    <row r="13" spans="1:3" x14ac:dyDescent="0.25">
      <c r="A13">
        <v>1320</v>
      </c>
      <c r="B13" t="s">
        <v>270</v>
      </c>
      <c r="C13" s="2">
        <v>50000</v>
      </c>
    </row>
    <row r="14" spans="1:3" x14ac:dyDescent="0.25">
      <c r="A14">
        <v>2015</v>
      </c>
      <c r="B14" t="s">
        <v>82</v>
      </c>
      <c r="C14" s="2">
        <f>-3163.96-5065647.35+5068101.01</f>
        <v>-710.29999999981374</v>
      </c>
    </row>
    <row r="15" spans="1:3" x14ac:dyDescent="0.25">
      <c r="A15">
        <v>3010</v>
      </c>
      <c r="B15" t="s">
        <v>105</v>
      </c>
      <c r="C15">
        <v>-7.5</v>
      </c>
    </row>
    <row r="16" spans="1:3" x14ac:dyDescent="0.25">
      <c r="A16">
        <v>3015</v>
      </c>
      <c r="B16" t="s">
        <v>106</v>
      </c>
      <c r="C16" s="2">
        <f>-(14800992.5+4160000)</f>
        <v>-18960992.5</v>
      </c>
    </row>
    <row r="17" spans="1:3" x14ac:dyDescent="0.25">
      <c r="A17">
        <v>3090</v>
      </c>
      <c r="B17" t="s">
        <v>120</v>
      </c>
      <c r="C17" s="2">
        <v>13837102.619999999</v>
      </c>
    </row>
    <row r="18" spans="1:3" x14ac:dyDescent="0.25">
      <c r="A18">
        <v>7899</v>
      </c>
      <c r="B18" t="s">
        <v>299</v>
      </c>
      <c r="C18" s="2">
        <v>5050986.5599999996</v>
      </c>
    </row>
    <row r="19" spans="1:3" x14ac:dyDescent="0.25">
      <c r="A19">
        <v>8100</v>
      </c>
      <c r="B19" t="s">
        <v>198</v>
      </c>
      <c r="C19" s="2">
        <v>2453.66</v>
      </c>
    </row>
    <row r="20" spans="1:3" x14ac:dyDescent="0.25">
      <c r="A20">
        <v>8115</v>
      </c>
      <c r="B20" t="s">
        <v>200</v>
      </c>
      <c r="C20">
        <v>710.3</v>
      </c>
    </row>
    <row r="21" spans="1:3" x14ac:dyDescent="0.25">
      <c r="A21">
        <v>8550</v>
      </c>
      <c r="B21" t="s">
        <v>229</v>
      </c>
      <c r="C21">
        <v>208.87</v>
      </c>
    </row>
    <row r="22" spans="1:3" x14ac:dyDescent="0.25">
      <c r="A22">
        <v>9105</v>
      </c>
      <c r="B22" t="s">
        <v>300</v>
      </c>
      <c r="C22" s="2">
        <v>14660.79</v>
      </c>
    </row>
    <row r="23" spans="1:3" x14ac:dyDescent="0.25">
      <c r="C23" t="s">
        <v>254</v>
      </c>
    </row>
    <row r="25" spans="1:3" x14ac:dyDescent="0.25">
      <c r="C25" s="2">
        <f>SUM(C11:C24)</f>
        <v>-1.9736035028472543E-9</v>
      </c>
    </row>
    <row r="26" spans="1:3" x14ac:dyDescent="0.25">
      <c r="C26" t="s">
        <v>256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50"/>
  <sheetViews>
    <sheetView workbookViewId="0">
      <selection activeCell="M25" sqref="M25"/>
    </sheetView>
  </sheetViews>
  <sheetFormatPr defaultRowHeight="15" x14ac:dyDescent="0.25"/>
  <sheetData>
    <row r="1" spans="1:8" x14ac:dyDescent="0.25">
      <c r="A1" t="s">
        <v>0</v>
      </c>
      <c r="C1" t="s">
        <v>1</v>
      </c>
      <c r="D1" t="s">
        <v>264</v>
      </c>
      <c r="G1" t="s">
        <v>289</v>
      </c>
      <c r="H1" s="1">
        <v>41859</v>
      </c>
    </row>
    <row r="2" spans="1:8" x14ac:dyDescent="0.25">
      <c r="A2" t="s">
        <v>4</v>
      </c>
      <c r="C2" t="s">
        <v>5</v>
      </c>
      <c r="G2" t="s">
        <v>290</v>
      </c>
      <c r="H2" s="3">
        <v>0.77309027777777783</v>
      </c>
    </row>
    <row r="4" spans="1:8" x14ac:dyDescent="0.25">
      <c r="A4" t="s">
        <v>8</v>
      </c>
      <c r="C4" t="s">
        <v>9</v>
      </c>
      <c r="D4" t="s">
        <v>265</v>
      </c>
    </row>
    <row r="5" spans="1:8" x14ac:dyDescent="0.25">
      <c r="C5" t="s">
        <v>10</v>
      </c>
    </row>
    <row r="8" spans="1:8" x14ac:dyDescent="0.25">
      <c r="C8" t="s">
        <v>11</v>
      </c>
      <c r="D8" t="s">
        <v>266</v>
      </c>
      <c r="E8" t="s">
        <v>12</v>
      </c>
    </row>
    <row r="9" spans="1:8" x14ac:dyDescent="0.25">
      <c r="A9" t="s">
        <v>267</v>
      </c>
      <c r="B9" t="s">
        <v>268</v>
      </c>
      <c r="C9" s="1">
        <v>41275</v>
      </c>
      <c r="E9" s="1">
        <v>41639</v>
      </c>
      <c r="G9" t="s">
        <v>15</v>
      </c>
      <c r="H9" t="s">
        <v>16</v>
      </c>
    </row>
    <row r="10" spans="1:8" x14ac:dyDescent="0.25">
      <c r="A10" t="s">
        <v>254</v>
      </c>
      <c r="B10" t="s">
        <v>269</v>
      </c>
      <c r="C10" t="s">
        <v>17</v>
      </c>
      <c r="D10" t="s">
        <v>17</v>
      </c>
      <c r="E10" t="s">
        <v>18</v>
      </c>
      <c r="F10" t="s">
        <v>19</v>
      </c>
      <c r="G10" t="s">
        <v>20</v>
      </c>
      <c r="H10" t="s">
        <v>21</v>
      </c>
    </row>
    <row r="11" spans="1:8" x14ac:dyDescent="0.25">
      <c r="A11">
        <v>1025</v>
      </c>
      <c r="B11" t="s">
        <v>22</v>
      </c>
      <c r="C11">
        <v>0</v>
      </c>
      <c r="D11">
        <v>73.400000000000006</v>
      </c>
      <c r="E11">
        <v>73.400000000000006</v>
      </c>
    </row>
    <row r="12" spans="1:8" x14ac:dyDescent="0.25">
      <c r="A12">
        <v>2015</v>
      </c>
      <c r="B12" t="s">
        <v>82</v>
      </c>
      <c r="C12">
        <v>0</v>
      </c>
      <c r="D12" t="s">
        <v>291</v>
      </c>
      <c r="E12">
        <v>100</v>
      </c>
      <c r="F12" t="s">
        <v>24</v>
      </c>
    </row>
    <row r="13" spans="1:8" x14ac:dyDescent="0.25">
      <c r="A13">
        <v>8550</v>
      </c>
      <c r="B13" t="s">
        <v>229</v>
      </c>
      <c r="C13">
        <v>0</v>
      </c>
      <c r="D13">
        <v>26.6</v>
      </c>
      <c r="E13">
        <v>26.6</v>
      </c>
    </row>
    <row r="15" spans="1:8" x14ac:dyDescent="0.25">
      <c r="C15" t="s">
        <v>253</v>
      </c>
      <c r="D15" t="s">
        <v>253</v>
      </c>
      <c r="E15" t="s">
        <v>254</v>
      </c>
      <c r="F15" t="s">
        <v>19</v>
      </c>
    </row>
    <row r="17" spans="1:8" x14ac:dyDescent="0.25">
      <c r="C17">
        <v>0</v>
      </c>
      <c r="D17">
        <v>0</v>
      </c>
      <c r="E17">
        <v>0</v>
      </c>
    </row>
    <row r="18" spans="1:8" x14ac:dyDescent="0.25">
      <c r="C18" t="s">
        <v>255</v>
      </c>
      <c r="D18" t="s">
        <v>255</v>
      </c>
      <c r="E18" t="s">
        <v>256</v>
      </c>
      <c r="F18" t="s">
        <v>257</v>
      </c>
    </row>
    <row r="21" spans="1:8" x14ac:dyDescent="0.25">
      <c r="C21" t="s">
        <v>258</v>
      </c>
    </row>
    <row r="22" spans="1:8" x14ac:dyDescent="0.25">
      <c r="A22" t="s">
        <v>73</v>
      </c>
      <c r="C22" t="s">
        <v>74</v>
      </c>
      <c r="D22" t="s">
        <v>271</v>
      </c>
      <c r="G22" t="s">
        <v>2</v>
      </c>
      <c r="H22" t="s">
        <v>3</v>
      </c>
    </row>
    <row r="23" spans="1:8" x14ac:dyDescent="0.25">
      <c r="A23" t="s">
        <v>75</v>
      </c>
      <c r="C23" t="s">
        <v>5</v>
      </c>
      <c r="G23" t="s">
        <v>290</v>
      </c>
      <c r="H23" s="3">
        <v>0.77312499999999995</v>
      </c>
    </row>
    <row r="25" spans="1:8" x14ac:dyDescent="0.25">
      <c r="A25" t="s">
        <v>8</v>
      </c>
      <c r="C25" t="s">
        <v>9</v>
      </c>
      <c r="D25" t="s">
        <v>265</v>
      </c>
    </row>
    <row r="26" spans="1:8" x14ac:dyDescent="0.25">
      <c r="C26" t="s">
        <v>10</v>
      </c>
    </row>
    <row r="29" spans="1:8" x14ac:dyDescent="0.25">
      <c r="C29" t="s">
        <v>11</v>
      </c>
      <c r="D29" t="s">
        <v>266</v>
      </c>
      <c r="E29" t="s">
        <v>12</v>
      </c>
    </row>
    <row r="30" spans="1:8" x14ac:dyDescent="0.25">
      <c r="A30" t="s">
        <v>267</v>
      </c>
      <c r="B30" t="s">
        <v>268</v>
      </c>
      <c r="C30" s="1">
        <v>41275</v>
      </c>
      <c r="E30" s="1">
        <v>41639</v>
      </c>
      <c r="G30" t="s">
        <v>15</v>
      </c>
      <c r="H30" t="s">
        <v>16</v>
      </c>
    </row>
    <row r="31" spans="1:8" x14ac:dyDescent="0.25">
      <c r="A31" t="s">
        <v>254</v>
      </c>
      <c r="B31" t="s">
        <v>269</v>
      </c>
      <c r="C31" t="s">
        <v>17</v>
      </c>
      <c r="D31" t="s">
        <v>17</v>
      </c>
      <c r="E31" t="s">
        <v>18</v>
      </c>
      <c r="F31" t="s">
        <v>19</v>
      </c>
      <c r="G31" t="s">
        <v>20</v>
      </c>
      <c r="H31" t="s">
        <v>21</v>
      </c>
    </row>
    <row r="36" spans="1:3" x14ac:dyDescent="0.25">
      <c r="A36" t="s">
        <v>259</v>
      </c>
      <c r="B36" t="s">
        <v>260</v>
      </c>
      <c r="C36" t="s">
        <v>261</v>
      </c>
    </row>
    <row r="38" spans="1:3" x14ac:dyDescent="0.25">
      <c r="B38" t="s">
        <v>292</v>
      </c>
    </row>
    <row r="39" spans="1:3" x14ac:dyDescent="0.25">
      <c r="B39" t="s">
        <v>272</v>
      </c>
    </row>
    <row r="41" spans="1:3" x14ac:dyDescent="0.25">
      <c r="A41" t="s">
        <v>273</v>
      </c>
      <c r="B41" t="s">
        <v>274</v>
      </c>
    </row>
    <row r="42" spans="1:3" x14ac:dyDescent="0.25">
      <c r="B42" t="s">
        <v>275</v>
      </c>
    </row>
    <row r="43" spans="1:3" x14ac:dyDescent="0.25">
      <c r="A43" t="s">
        <v>276</v>
      </c>
      <c r="B43" t="s">
        <v>277</v>
      </c>
    </row>
    <row r="44" spans="1:3" x14ac:dyDescent="0.25">
      <c r="A44" t="s">
        <v>278</v>
      </c>
      <c r="B44" t="s">
        <v>279</v>
      </c>
    </row>
    <row r="45" spans="1:3" x14ac:dyDescent="0.25">
      <c r="B45" t="s">
        <v>280</v>
      </c>
    </row>
    <row r="46" spans="1:3" x14ac:dyDescent="0.25">
      <c r="A46" t="s">
        <v>281</v>
      </c>
      <c r="B46" t="s">
        <v>282</v>
      </c>
    </row>
    <row r="47" spans="1:3" x14ac:dyDescent="0.25">
      <c r="A47" t="s">
        <v>283</v>
      </c>
      <c r="B47" t="s">
        <v>284</v>
      </c>
    </row>
    <row r="48" spans="1:3" x14ac:dyDescent="0.25">
      <c r="A48" t="s">
        <v>285</v>
      </c>
      <c r="B48" t="s">
        <v>286</v>
      </c>
    </row>
    <row r="49" spans="1:3" x14ac:dyDescent="0.25">
      <c r="A49" t="s">
        <v>287</v>
      </c>
      <c r="B49" t="s">
        <v>288</v>
      </c>
      <c r="C49" t="s">
        <v>262</v>
      </c>
    </row>
    <row r="50" spans="1:3" x14ac:dyDescent="0.25">
      <c r="C50" t="s">
        <v>263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44"/>
  <sheetViews>
    <sheetView topLeftCell="A29" zoomScaleNormal="100" zoomScaleSheetLayoutView="95" workbookViewId="0">
      <selection activeCell="K43" sqref="K43"/>
    </sheetView>
  </sheetViews>
  <sheetFormatPr defaultColWidth="9.85546875" defaultRowHeight="15" x14ac:dyDescent="0.25"/>
  <cols>
    <col min="1" max="6" width="2.28515625" style="12" customWidth="1"/>
    <col min="7" max="7" width="60.5703125" style="12" customWidth="1"/>
    <col min="8" max="8" width="2.42578125" style="12" customWidth="1"/>
    <col min="9" max="9" width="16" style="12" customWidth="1"/>
    <col min="10" max="10" width="1" style="12" customWidth="1"/>
    <col min="11" max="11" width="13.85546875" style="12" customWidth="1"/>
    <col min="12" max="12" width="0.85546875" style="12" customWidth="1"/>
    <col min="13" max="13" width="13.85546875" style="12" customWidth="1"/>
    <col min="14" max="14" width="0.7109375" style="12" customWidth="1"/>
    <col min="15" max="15" width="13.85546875" style="12" customWidth="1"/>
    <col min="16" max="16" width="2.42578125" style="12" hidden="1" customWidth="1"/>
    <col min="17" max="17" width="13.85546875" style="12" hidden="1" customWidth="1"/>
    <col min="18" max="16384" width="9.85546875" style="12"/>
  </cols>
  <sheetData>
    <row r="1" spans="1:17" ht="12.95" customHeight="1" x14ac:dyDescent="0.25">
      <c r="A1" s="10" t="s">
        <v>310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0.100000000000001" customHeight="1" x14ac:dyDescent="0.25">
      <c r="A2" s="11" t="s">
        <v>311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0.100000000000001" customHeight="1" x14ac:dyDescent="0.25">
      <c r="A3" s="11" t="s">
        <v>413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0"/>
      <c r="M3" s="11"/>
      <c r="N3" s="10"/>
      <c r="O3" s="11"/>
      <c r="P3" s="11"/>
      <c r="Q3" s="11"/>
    </row>
    <row r="4" spans="1:17" ht="20.100000000000001" hidden="1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0"/>
      <c r="M4" s="11"/>
      <c r="N4" s="10"/>
      <c r="O4" s="11"/>
      <c r="P4" s="11"/>
      <c r="Q4" s="11"/>
    </row>
    <row r="5" spans="1:17" ht="20.100000000000001" hidden="1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0"/>
      <c r="M5" s="11"/>
      <c r="N5" s="10"/>
      <c r="O5" s="11"/>
      <c r="P5" s="11"/>
      <c r="Q5" s="11"/>
    </row>
    <row r="6" spans="1:17" ht="20.100000000000001" hidden="1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0"/>
      <c r="M6" s="11"/>
      <c r="N6" s="10"/>
      <c r="O6" s="11"/>
      <c r="P6" s="11"/>
      <c r="Q6" s="11"/>
    </row>
    <row r="7" spans="1:17" ht="20.100000000000001" hidden="1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0"/>
      <c r="M7" s="11"/>
      <c r="N7" s="10"/>
      <c r="O7" s="11"/>
      <c r="P7" s="11"/>
      <c r="Q7" s="11"/>
    </row>
    <row r="8" spans="1:17" ht="39" customHeight="1" x14ac:dyDescent="0.25">
      <c r="A8" s="10" t="s">
        <v>312</v>
      </c>
      <c r="B8" s="11"/>
      <c r="C8" s="11"/>
      <c r="D8" s="11"/>
      <c r="E8" s="11"/>
      <c r="F8" s="11"/>
      <c r="G8" s="11"/>
      <c r="I8" s="13">
        <v>2013</v>
      </c>
      <c r="K8" s="13">
        <v>2012</v>
      </c>
      <c r="M8" s="13">
        <v>2011</v>
      </c>
      <c r="O8" s="13">
        <v>2010</v>
      </c>
      <c r="Q8" s="13">
        <v>2009</v>
      </c>
    </row>
    <row r="9" spans="1:17" ht="20.100000000000001" customHeight="1" x14ac:dyDescent="0.25">
      <c r="A9" s="12" t="s">
        <v>313</v>
      </c>
      <c r="I9" s="14"/>
      <c r="K9" s="14"/>
      <c r="M9" s="14"/>
      <c r="O9" s="14"/>
      <c r="Q9" s="14"/>
    </row>
    <row r="10" spans="1:17" ht="12.95" customHeight="1" x14ac:dyDescent="0.25">
      <c r="B10" s="15" t="s">
        <v>314</v>
      </c>
      <c r="C10" s="15"/>
      <c r="D10" s="15"/>
      <c r="E10" s="15"/>
      <c r="F10" s="15"/>
      <c r="G10" s="15"/>
      <c r="H10" s="16" t="s">
        <v>315</v>
      </c>
      <c r="I10" s="17">
        <f>SUM('TB consol'!I10:I15)</f>
        <v>24264358.640000001</v>
      </c>
      <c r="J10" s="16"/>
      <c r="K10" s="17">
        <f>SUM('TB consol'!K10:K15)</f>
        <v>10319854.01</v>
      </c>
      <c r="M10" s="17">
        <v>25585015</v>
      </c>
      <c r="O10" s="17">
        <v>4774600</v>
      </c>
      <c r="Q10" s="17">
        <v>2474571</v>
      </c>
    </row>
    <row r="11" spans="1:17" ht="12.95" customHeight="1" x14ac:dyDescent="0.25">
      <c r="B11" s="15" t="s">
        <v>316</v>
      </c>
      <c r="C11" s="15"/>
      <c r="D11" s="15"/>
      <c r="E11" s="15"/>
      <c r="F11" s="15"/>
      <c r="G11" s="15"/>
      <c r="H11" s="15"/>
      <c r="I11" s="17">
        <f>SUM('TB consol'!I16:I17,'TB consol'!I18)</f>
        <v>6701796.2000000002</v>
      </c>
      <c r="J11" s="15"/>
      <c r="K11" s="17">
        <f>SUM('TB consol'!K16:K17,'TB consol'!K18)</f>
        <v>41465423.460000001</v>
      </c>
      <c r="M11" s="17">
        <v>62470529</v>
      </c>
      <c r="O11" s="17">
        <v>31943170</v>
      </c>
      <c r="Q11" s="17">
        <v>1214988</v>
      </c>
    </row>
    <row r="12" spans="1:17" ht="12.95" customHeight="1" x14ac:dyDescent="0.25">
      <c r="B12" s="15" t="s">
        <v>317</v>
      </c>
      <c r="C12" s="15"/>
      <c r="D12" s="15"/>
      <c r="E12" s="15"/>
      <c r="F12" s="15"/>
      <c r="G12" s="15"/>
      <c r="H12" s="15"/>
      <c r="I12" s="18">
        <f>'TB consol'!I19</f>
        <v>0</v>
      </c>
      <c r="J12" s="15"/>
      <c r="K12" s="18">
        <f>'TB consol'!K19</f>
        <v>0</v>
      </c>
      <c r="M12" s="18">
        <v>0</v>
      </c>
      <c r="O12" s="18">
        <v>54722</v>
      </c>
      <c r="Q12" s="18">
        <v>28560</v>
      </c>
    </row>
    <row r="13" spans="1:17" ht="12.95" customHeight="1" x14ac:dyDescent="0.25">
      <c r="B13" s="15" t="s">
        <v>318</v>
      </c>
      <c r="C13" s="15"/>
      <c r="D13" s="15"/>
      <c r="E13" s="15"/>
      <c r="F13" s="15"/>
      <c r="G13" s="15"/>
      <c r="H13" s="15"/>
      <c r="I13" s="18">
        <f>SUM('TB consol'!I20:I29)</f>
        <v>3776610.3000000003</v>
      </c>
      <c r="J13" s="15"/>
      <c r="K13" s="18">
        <f>SUM('TB consol'!K20:K29)</f>
        <v>1733246.85</v>
      </c>
      <c r="M13" s="18"/>
      <c r="O13" s="18"/>
      <c r="Q13" s="18">
        <v>581395</v>
      </c>
    </row>
    <row r="14" spans="1:17" ht="12.95" customHeight="1" x14ac:dyDescent="0.25">
      <c r="B14" s="15" t="s">
        <v>319</v>
      </c>
      <c r="C14" s="15"/>
      <c r="D14" s="15"/>
      <c r="E14" s="15"/>
      <c r="F14" s="15"/>
      <c r="G14" s="15"/>
      <c r="H14" s="15"/>
      <c r="I14" s="19">
        <f>SUM('TB consol'!I30:I42,'TB consol'!I69)</f>
        <v>1780175</v>
      </c>
      <c r="J14" s="15"/>
      <c r="K14" s="19">
        <f>SUM('TB consol'!K30:K42,'TB consol'!K69)</f>
        <v>1882191.53</v>
      </c>
      <c r="M14" s="19">
        <v>665401</v>
      </c>
      <c r="O14" s="19">
        <v>827422</v>
      </c>
      <c r="Q14" s="19">
        <v>195113</v>
      </c>
    </row>
    <row r="15" spans="1:17" ht="20.100000000000001" customHeight="1" x14ac:dyDescent="0.25">
      <c r="F15" s="12" t="s">
        <v>320</v>
      </c>
      <c r="H15" s="20"/>
      <c r="I15" s="17">
        <f>SUM(I10:I14)</f>
        <v>36522940.140000001</v>
      </c>
      <c r="J15" s="20"/>
      <c r="K15" s="17">
        <f>SUM(K10:K14)</f>
        <v>55400715.850000001</v>
      </c>
      <c r="M15" s="17">
        <f>SUM(M10:M14)</f>
        <v>88720945</v>
      </c>
      <c r="O15" s="17">
        <f>SUM(O10:O14)</f>
        <v>37599914</v>
      </c>
      <c r="Q15" s="17">
        <f>SUM(Q10:Q14)</f>
        <v>4494627</v>
      </c>
    </row>
    <row r="16" spans="1:17" ht="20.100000000000001" customHeight="1" x14ac:dyDescent="0.25">
      <c r="B16" s="12" t="s">
        <v>321</v>
      </c>
      <c r="I16" s="17">
        <f>SUM('TB consol'!I43:I66)</f>
        <v>22020519.649999999</v>
      </c>
      <c r="K16" s="17">
        <f>SUM('TB consol'!K43:K66)</f>
        <v>19557312.060000006</v>
      </c>
      <c r="L16" s="21"/>
      <c r="M16" s="17">
        <f>4547845+100470</f>
        <v>4648315</v>
      </c>
      <c r="N16" s="21"/>
      <c r="O16" s="17">
        <v>2630075</v>
      </c>
      <c r="Q16" s="17">
        <v>1765760</v>
      </c>
    </row>
    <row r="17" spans="1:17" ht="20.100000000000001" customHeight="1" thickBot="1" x14ac:dyDescent="0.3">
      <c r="F17" s="12" t="s">
        <v>322</v>
      </c>
      <c r="H17" s="16" t="s">
        <v>315</v>
      </c>
      <c r="I17" s="22">
        <f>SUM(I15:I16)</f>
        <v>58543459.789999999</v>
      </c>
      <c r="J17" s="16"/>
      <c r="K17" s="22">
        <f>SUM(K15:K16)</f>
        <v>74958027.910000011</v>
      </c>
      <c r="M17" s="22">
        <f>SUM(M15:M16)</f>
        <v>93369260</v>
      </c>
      <c r="O17" s="22">
        <f>SUM(O15:O16)</f>
        <v>40229989</v>
      </c>
      <c r="Q17" s="22">
        <f>SUM(Q15:Q16)</f>
        <v>6260387</v>
      </c>
    </row>
    <row r="18" spans="1:17" ht="20.100000000000001" customHeight="1" thickTop="1" x14ac:dyDescent="0.25">
      <c r="A18" s="10" t="s">
        <v>323</v>
      </c>
      <c r="B18" s="11"/>
      <c r="C18" s="10"/>
      <c r="D18" s="10"/>
      <c r="E18" s="10"/>
      <c r="F18" s="10"/>
      <c r="G18" s="10"/>
      <c r="H18" s="14"/>
      <c r="I18" s="23"/>
      <c r="J18" s="14"/>
      <c r="K18" s="23"/>
      <c r="M18" s="23"/>
      <c r="O18" s="23"/>
      <c r="Q18" s="23"/>
    </row>
    <row r="19" spans="1:17" ht="20.100000000000001" customHeight="1" x14ac:dyDescent="0.25">
      <c r="A19" s="12" t="s">
        <v>324</v>
      </c>
      <c r="I19" s="17"/>
      <c r="K19" s="17"/>
      <c r="M19" s="17"/>
      <c r="O19" s="17"/>
      <c r="Q19" s="17"/>
    </row>
    <row r="20" spans="1:17" ht="12.95" customHeight="1" x14ac:dyDescent="0.25">
      <c r="B20" s="15" t="s">
        <v>325</v>
      </c>
      <c r="C20" s="15"/>
      <c r="D20" s="15"/>
      <c r="E20" s="15"/>
      <c r="F20" s="15"/>
      <c r="G20" s="15"/>
      <c r="H20" s="16" t="s">
        <v>315</v>
      </c>
      <c r="I20" s="17">
        <f>-'TB consol'!I70</f>
        <v>7429563.4299999997</v>
      </c>
      <c r="J20" s="16"/>
      <c r="K20" s="17">
        <f>-'TB consol'!K70</f>
        <v>7668771.71</v>
      </c>
      <c r="M20" s="17">
        <v>1237718</v>
      </c>
      <c r="O20" s="17">
        <v>439500</v>
      </c>
      <c r="Q20" s="17">
        <v>559629</v>
      </c>
    </row>
    <row r="21" spans="1:17" ht="12.95" customHeight="1" x14ac:dyDescent="0.25">
      <c r="B21" s="15" t="s">
        <v>326</v>
      </c>
      <c r="C21" s="15"/>
      <c r="D21" s="15"/>
      <c r="E21" s="15"/>
      <c r="F21" s="15"/>
      <c r="G21" s="15"/>
      <c r="H21" s="15"/>
      <c r="I21" s="18">
        <f>-SUM('TB consol'!I71:I81,'TB consol'!I87)</f>
        <v>4806929.5199999996</v>
      </c>
      <c r="J21" s="15"/>
      <c r="K21" s="18">
        <f>-SUM('TB consol'!K71:K81,'TB consol'!K87)</f>
        <v>4691162.4899999984</v>
      </c>
      <c r="M21" s="18">
        <f>2803099+19281</f>
        <v>2822380</v>
      </c>
      <c r="O21" s="18">
        <v>1275208</v>
      </c>
      <c r="Q21" s="18">
        <v>938012</v>
      </c>
    </row>
    <row r="22" spans="1:17" ht="12.95" customHeight="1" x14ac:dyDescent="0.25">
      <c r="B22" s="15" t="s">
        <v>327</v>
      </c>
      <c r="C22" s="15"/>
      <c r="D22" s="15"/>
      <c r="E22" s="15"/>
      <c r="F22" s="15"/>
      <c r="G22" s="15"/>
      <c r="H22" s="15"/>
      <c r="I22" s="18">
        <v>7169</v>
      </c>
      <c r="J22" s="15"/>
      <c r="K22" s="18">
        <v>7169</v>
      </c>
      <c r="M22" s="18">
        <v>7169</v>
      </c>
      <c r="O22" s="18">
        <v>257169</v>
      </c>
      <c r="Q22" s="18">
        <v>1663333</v>
      </c>
    </row>
    <row r="23" spans="1:17" ht="12.95" hidden="1" customHeight="1" x14ac:dyDescent="0.25">
      <c r="B23" s="15" t="s">
        <v>328</v>
      </c>
      <c r="C23" s="15"/>
      <c r="D23" s="15"/>
      <c r="E23" s="15"/>
      <c r="F23" s="15"/>
      <c r="G23" s="15"/>
      <c r="H23" s="15"/>
      <c r="I23" s="18"/>
      <c r="J23" s="15"/>
      <c r="K23" s="18"/>
      <c r="M23" s="18">
        <v>0</v>
      </c>
      <c r="O23" s="18">
        <v>0</v>
      </c>
      <c r="Q23" s="18">
        <v>8060823</v>
      </c>
    </row>
    <row r="24" spans="1:17" ht="12.95" customHeight="1" x14ac:dyDescent="0.25">
      <c r="B24" s="15" t="s">
        <v>329</v>
      </c>
      <c r="C24" s="15"/>
      <c r="D24" s="15"/>
      <c r="E24" s="15"/>
      <c r="F24" s="15"/>
      <c r="G24" s="15"/>
      <c r="H24" s="15"/>
      <c r="I24" s="18">
        <f>-'TB consol'!I86</f>
        <v>45187358.880000003</v>
      </c>
      <c r="J24" s="15"/>
      <c r="K24" s="18">
        <f>-'TB consol'!K86</f>
        <v>3000000</v>
      </c>
      <c r="M24" s="18">
        <v>0</v>
      </c>
      <c r="O24" s="18">
        <v>0</v>
      </c>
      <c r="Q24" s="18"/>
    </row>
    <row r="25" spans="1:17" ht="12.95" customHeight="1" x14ac:dyDescent="0.25">
      <c r="B25" s="15" t="s">
        <v>330</v>
      </c>
      <c r="C25" s="15"/>
      <c r="D25" s="15"/>
      <c r="E25" s="15"/>
      <c r="F25" s="15"/>
      <c r="G25" s="15"/>
      <c r="H25" s="15"/>
      <c r="I25" s="24">
        <f>-'TB consol'!I83</f>
        <v>22941.06</v>
      </c>
      <c r="J25" s="15"/>
      <c r="K25" s="24">
        <f>-'TB consol'!K83</f>
        <v>22941.06</v>
      </c>
      <c r="M25" s="24">
        <v>22941</v>
      </c>
      <c r="O25" s="19">
        <v>22941</v>
      </c>
      <c r="Q25" s="19">
        <v>12228</v>
      </c>
    </row>
    <row r="26" spans="1:17" ht="20.100000000000001" customHeight="1" x14ac:dyDescent="0.25">
      <c r="C26" s="25"/>
      <c r="D26" s="25"/>
      <c r="E26" s="25"/>
      <c r="F26" s="25" t="s">
        <v>331</v>
      </c>
      <c r="G26" s="25"/>
      <c r="H26" s="25"/>
      <c r="I26" s="17">
        <f>SUM(I20:I25)</f>
        <v>57453961.890000001</v>
      </c>
      <c r="J26" s="25"/>
      <c r="K26" s="17">
        <f>SUM(K20:K25)</f>
        <v>15390044.26</v>
      </c>
      <c r="M26" s="17">
        <f>SUM(M20:M25)</f>
        <v>4090208</v>
      </c>
      <c r="O26" s="17">
        <f>SUM(O20:O25)</f>
        <v>1994818</v>
      </c>
      <c r="Q26" s="17">
        <f>SUM(Q20:Q25)</f>
        <v>11234025</v>
      </c>
    </row>
    <row r="27" spans="1:17" x14ac:dyDescent="0.25">
      <c r="B27" s="25" t="s">
        <v>332</v>
      </c>
      <c r="C27" s="25"/>
      <c r="D27" s="25"/>
      <c r="E27" s="25"/>
      <c r="F27" s="25"/>
      <c r="G27" s="25"/>
      <c r="H27" s="25"/>
      <c r="I27" s="17">
        <f>-'TB consol'!I88</f>
        <v>1857394.97</v>
      </c>
      <c r="J27" s="25"/>
      <c r="K27" s="17">
        <f>-'TB consol'!K88</f>
        <v>1571605.24</v>
      </c>
      <c r="M27" s="17">
        <v>766952</v>
      </c>
      <c r="O27" s="17">
        <v>759200</v>
      </c>
      <c r="Q27" s="17">
        <v>722592</v>
      </c>
    </row>
    <row r="28" spans="1:17" ht="12.95" customHeight="1" x14ac:dyDescent="0.25">
      <c r="B28" s="15" t="s">
        <v>327</v>
      </c>
      <c r="C28" s="15"/>
      <c r="D28" s="15"/>
      <c r="E28" s="15"/>
      <c r="F28" s="15"/>
      <c r="G28" s="15"/>
      <c r="H28" s="15"/>
      <c r="I28" s="17">
        <v>3800848</v>
      </c>
      <c r="J28" s="15"/>
      <c r="K28" s="17">
        <v>3800848</v>
      </c>
      <c r="L28" s="17"/>
      <c r="M28" s="17">
        <v>3800848</v>
      </c>
      <c r="O28" s="18">
        <v>3808017</v>
      </c>
      <c r="Q28" s="18">
        <v>2145834</v>
      </c>
    </row>
    <row r="29" spans="1:17" x14ac:dyDescent="0.25">
      <c r="B29" s="25" t="s">
        <v>333</v>
      </c>
      <c r="C29" s="25"/>
      <c r="D29" s="25"/>
      <c r="E29" s="25"/>
      <c r="F29" s="25"/>
      <c r="G29" s="25"/>
      <c r="H29" s="25"/>
      <c r="I29" s="17">
        <f>-'TB consol'!I84-'2-BS'!I28-'2-BS'!I22</f>
        <v>79999999.890000001</v>
      </c>
      <c r="J29" s="25"/>
      <c r="K29" s="17">
        <f>-'TB consol'!K84-'2-BS'!K28-'2-BS'!K22</f>
        <v>69499999.890000001</v>
      </c>
      <c r="M29" s="17">
        <v>73500000</v>
      </c>
      <c r="O29" s="17">
        <v>0</v>
      </c>
      <c r="Q29" s="17">
        <v>0</v>
      </c>
    </row>
    <row r="30" spans="1:17" ht="12.95" customHeight="1" x14ac:dyDescent="0.25">
      <c r="B30" s="15" t="s">
        <v>334</v>
      </c>
      <c r="C30" s="15"/>
      <c r="D30" s="15"/>
      <c r="E30" s="15"/>
      <c r="F30" s="15"/>
      <c r="G30" s="15"/>
      <c r="H30" s="15"/>
      <c r="I30" s="17">
        <f>-'TB consol'!I82</f>
        <v>1866358.1840000004</v>
      </c>
      <c r="J30" s="15"/>
      <c r="K30" s="17">
        <f>-'TB consol'!K82</f>
        <v>3424984.25</v>
      </c>
      <c r="M30" s="17">
        <v>5958827</v>
      </c>
      <c r="O30" s="17">
        <v>1846856</v>
      </c>
      <c r="Q30" s="17">
        <v>807326</v>
      </c>
    </row>
    <row r="31" spans="1:17" ht="12.95" customHeight="1" x14ac:dyDescent="0.25">
      <c r="B31" s="15" t="s">
        <v>335</v>
      </c>
      <c r="C31" s="15"/>
      <c r="D31" s="15"/>
      <c r="E31" s="15"/>
      <c r="F31" s="15"/>
      <c r="G31" s="15"/>
      <c r="H31" s="15"/>
      <c r="I31" s="17">
        <f>-'TB consol'!I89-'TB consol'!I90</f>
        <v>40489150.689999998</v>
      </c>
      <c r="J31" s="15"/>
      <c r="K31" s="17">
        <f>-'TB consol'!K89-'TB consol'!K90</f>
        <v>40173150.689999998</v>
      </c>
      <c r="M31" s="17">
        <v>0</v>
      </c>
      <c r="O31" s="17">
        <v>0</v>
      </c>
      <c r="Q31" s="17"/>
    </row>
    <row r="32" spans="1:17" ht="12.95" customHeight="1" x14ac:dyDescent="0.25">
      <c r="B32" s="12" t="s">
        <v>336</v>
      </c>
      <c r="I32" s="19">
        <f>-'TB consol'!I91</f>
        <v>1897229.34</v>
      </c>
      <c r="K32" s="19">
        <f>-'TB consol'!K91</f>
        <v>231073.28</v>
      </c>
      <c r="M32" s="19">
        <f>13332+87887</f>
        <v>101219</v>
      </c>
      <c r="O32" s="19">
        <v>41706</v>
      </c>
      <c r="Q32" s="19">
        <v>0</v>
      </c>
    </row>
    <row r="33" spans="1:17" ht="20.100000000000001" customHeight="1" x14ac:dyDescent="0.25">
      <c r="F33" s="12" t="s">
        <v>337</v>
      </c>
      <c r="I33" s="17">
        <f>SUM(I26:I32)</f>
        <v>187364942.96400002</v>
      </c>
      <c r="K33" s="17">
        <f>SUM(K26:K32)</f>
        <v>134091705.61</v>
      </c>
      <c r="M33" s="17">
        <f>SUM(M26:M32)</f>
        <v>88218054</v>
      </c>
      <c r="O33" s="17">
        <f>SUM(O26:O32)</f>
        <v>8450597</v>
      </c>
      <c r="Q33" s="17">
        <f>SUM(Q26:Q32)</f>
        <v>14909777</v>
      </c>
    </row>
    <row r="34" spans="1:17" ht="20.100000000000001" customHeight="1" x14ac:dyDescent="0.25">
      <c r="A34" s="25" t="s">
        <v>338</v>
      </c>
      <c r="C34" s="25"/>
      <c r="D34" s="25"/>
      <c r="E34" s="25"/>
      <c r="F34" s="25"/>
      <c r="G34" s="25"/>
      <c r="H34" s="25"/>
      <c r="I34" s="17"/>
      <c r="J34" s="25"/>
      <c r="K34" s="17"/>
      <c r="M34" s="17"/>
      <c r="O34" s="17"/>
      <c r="Q34" s="17"/>
    </row>
    <row r="35" spans="1:17" ht="20.100000000000001" customHeight="1" x14ac:dyDescent="0.25">
      <c r="A35" s="12" t="s">
        <v>339</v>
      </c>
      <c r="I35" s="17"/>
      <c r="K35" s="17"/>
      <c r="M35" s="17"/>
      <c r="O35" s="17"/>
      <c r="Q35" s="17"/>
    </row>
    <row r="36" spans="1:17" ht="12.95" customHeight="1" x14ac:dyDescent="0.25">
      <c r="B36" s="25" t="s">
        <v>340</v>
      </c>
      <c r="C36" s="25"/>
      <c r="D36" s="25"/>
      <c r="E36" s="25"/>
      <c r="F36" s="25"/>
      <c r="G36" s="25"/>
      <c r="H36" s="25"/>
      <c r="I36" s="17">
        <f>-'TB consol'!I92</f>
        <v>4402.1000000000004</v>
      </c>
      <c r="J36" s="25"/>
      <c r="K36" s="17">
        <f>-'TB consol'!K92</f>
        <v>2966.6</v>
      </c>
      <c r="M36" s="17">
        <v>2616</v>
      </c>
      <c r="O36" s="17">
        <v>2342</v>
      </c>
      <c r="Q36" s="17"/>
    </row>
    <row r="37" spans="1:17" ht="12.95" customHeight="1" x14ac:dyDescent="0.25">
      <c r="B37" s="25" t="s">
        <v>341</v>
      </c>
      <c r="C37" s="25"/>
      <c r="D37" s="25"/>
      <c r="E37" s="25"/>
      <c r="F37" s="25"/>
      <c r="G37" s="25"/>
      <c r="H37" s="25"/>
      <c r="I37" s="17">
        <f>-'TB consol'!I93-'TB consol'!I94-'TB consol'!I95-'TB consol'!I96</f>
        <v>3585.77</v>
      </c>
      <c r="J37" s="25"/>
      <c r="K37" s="17">
        <f>-'TB consol'!K93-'TB consol'!K94-'TB consol'!K95-'TB consol'!K96</f>
        <v>3556.17</v>
      </c>
      <c r="M37" s="17">
        <v>3556</v>
      </c>
      <c r="O37" s="17">
        <v>3556</v>
      </c>
      <c r="Q37" s="17"/>
    </row>
    <row r="38" spans="1:17" ht="12.95" customHeight="1" x14ac:dyDescent="0.25">
      <c r="B38" s="15" t="s">
        <v>342</v>
      </c>
      <c r="C38" s="15"/>
      <c r="D38" s="15"/>
      <c r="E38" s="15"/>
      <c r="F38" s="15"/>
      <c r="G38" s="15"/>
      <c r="H38" s="15"/>
      <c r="I38" s="17">
        <f>-SUM('TB consol'!I97:I105)</f>
        <v>134596863.27600002</v>
      </c>
      <c r="J38" s="15"/>
      <c r="K38" s="17">
        <f>-SUM('TB consol'!K97:K105)</f>
        <v>111905183.91</v>
      </c>
      <c r="M38" s="17">
        <v>109360131</v>
      </c>
      <c r="O38" s="17">
        <v>108314865</v>
      </c>
      <c r="Q38" s="17">
        <v>51679682</v>
      </c>
    </row>
    <row r="39" spans="1:17" ht="12.95" customHeight="1" x14ac:dyDescent="0.25">
      <c r="B39" s="25" t="s">
        <v>343</v>
      </c>
      <c r="C39" s="25"/>
      <c r="D39" s="25"/>
      <c r="E39" s="25"/>
      <c r="F39" s="25"/>
      <c r="G39" s="25"/>
      <c r="H39" s="25"/>
      <c r="I39" s="17">
        <f>-SUM('TB consol'!I107:I254)</f>
        <v>-263425838.59000003</v>
      </c>
      <c r="J39" s="25"/>
      <c r="K39" s="17">
        <f>-SUM('TB consol'!K107:K254)</f>
        <v>-171058113.66</v>
      </c>
      <c r="M39" s="17">
        <f>-104213440-6698</f>
        <v>-104220138</v>
      </c>
      <c r="O39" s="17">
        <v>-76550908</v>
      </c>
      <c r="Q39" s="17">
        <v>-60334622</v>
      </c>
    </row>
    <row r="40" spans="1:17" ht="12.95" customHeight="1" x14ac:dyDescent="0.25">
      <c r="B40" s="15" t="s">
        <v>344</v>
      </c>
      <c r="C40" s="15"/>
      <c r="D40" s="15"/>
      <c r="E40" s="15"/>
      <c r="G40" s="15"/>
      <c r="H40" s="15"/>
      <c r="I40" s="19">
        <f>-'TB consol'!I106</f>
        <v>-495.74</v>
      </c>
      <c r="J40" s="15"/>
      <c r="K40" s="19">
        <f>-'TB consol'!K106</f>
        <v>12729.27</v>
      </c>
      <c r="M40" s="19">
        <v>5041</v>
      </c>
      <c r="O40" s="19">
        <v>9537</v>
      </c>
      <c r="Q40" s="19">
        <v>207</v>
      </c>
    </row>
    <row r="41" spans="1:17" ht="20.100000000000001" customHeight="1" x14ac:dyDescent="0.25">
      <c r="C41" s="15"/>
      <c r="D41" s="15"/>
      <c r="E41" s="15"/>
      <c r="F41" s="15" t="s">
        <v>345</v>
      </c>
      <c r="G41" s="15"/>
      <c r="H41" s="20"/>
      <c r="I41" s="19">
        <f>SUM(I36:I40)</f>
        <v>-128821483.184</v>
      </c>
      <c r="J41" s="20"/>
      <c r="K41" s="19">
        <f>SUM(K36:K40)</f>
        <v>-59133677.710000001</v>
      </c>
      <c r="M41" s="19">
        <f>SUM(M36:M40)</f>
        <v>5151206</v>
      </c>
      <c r="O41" s="19">
        <f>SUM(O36:O40)</f>
        <v>31779392</v>
      </c>
      <c r="Q41" s="19">
        <f>SUM(Q37:Q40)</f>
        <v>-8654733</v>
      </c>
    </row>
    <row r="42" spans="1:17" ht="20.100000000000001" customHeight="1" thickBot="1" x14ac:dyDescent="0.3">
      <c r="F42" s="12" t="s">
        <v>346</v>
      </c>
      <c r="H42" s="16" t="s">
        <v>315</v>
      </c>
      <c r="I42" s="22">
        <f>SUM(I33,I41)</f>
        <v>58543459.780000016</v>
      </c>
      <c r="J42" s="16"/>
      <c r="K42" s="22">
        <f>SUM(K33,K41)</f>
        <v>74958027.900000006</v>
      </c>
      <c r="M42" s="22">
        <f>SUM(M33,M41)</f>
        <v>93369260</v>
      </c>
      <c r="O42" s="22">
        <f>SUM(O33,O41)</f>
        <v>40229989</v>
      </c>
      <c r="Q42" s="22">
        <f>SUM(Q33,Q41)</f>
        <v>6255044</v>
      </c>
    </row>
    <row r="43" spans="1:17" ht="15.75" thickTop="1" x14ac:dyDescent="0.25">
      <c r="C43" s="26"/>
      <c r="D43" s="26"/>
      <c r="E43" s="26"/>
      <c r="F43" s="26"/>
      <c r="G43" s="26"/>
      <c r="H43" s="26"/>
      <c r="I43" s="27"/>
      <c r="J43" s="26"/>
      <c r="K43" s="27"/>
      <c r="M43" s="27"/>
      <c r="O43" s="27"/>
    </row>
    <row r="44" spans="1:17" x14ac:dyDescent="0.25">
      <c r="K44" s="27"/>
      <c r="M44" s="27"/>
    </row>
  </sheetData>
  <pageMargins left="0.8" right="0.7" top="1" bottom="0.8" header="0.5" footer="0.5"/>
  <pageSetup scale="73" firstPageNumber="2" orientation="portrait" blackAndWhite="1" useFirstPageNumber="1" r:id="rId1"/>
  <headerFooter alignWithMargins="0">
    <oddFooter>&amp;C&amp;"Times New Roman,Regular"&amp;11&amp;P</oddFooter>
    <evenFooter>&amp;C&amp;"Times New Roman,Regular"&amp;11&amp;P</evenFooter>
    <firstFooter>&amp;C&amp;"Times New Roman,Regular"&amp;11&amp;P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14"/>
  <sheetViews>
    <sheetView tabSelected="1" zoomScaleNormal="100" workbookViewId="0">
      <selection activeCell="I14" sqref="I14"/>
    </sheetView>
  </sheetViews>
  <sheetFormatPr defaultColWidth="8.7109375" defaultRowHeight="15" x14ac:dyDescent="0.25"/>
  <cols>
    <col min="1" max="6" width="2.28515625" style="12" customWidth="1"/>
    <col min="7" max="7" width="41.42578125" style="12" customWidth="1"/>
    <col min="8" max="8" width="2.42578125" style="12" customWidth="1"/>
    <col min="9" max="9" width="17.28515625" style="12" customWidth="1"/>
    <col min="10" max="10" width="2.42578125" style="12" customWidth="1"/>
    <col min="11" max="11" width="14.28515625" style="12" customWidth="1"/>
    <col min="12" max="12" width="2.42578125" style="12" customWidth="1"/>
    <col min="13" max="13" width="13.85546875" style="12" customWidth="1"/>
    <col min="14" max="14" width="2.42578125" style="12" customWidth="1"/>
    <col min="15" max="15" width="13.85546875" style="12" customWidth="1"/>
    <col min="16" max="16" width="2.42578125" style="12" customWidth="1"/>
    <col min="17" max="17" width="13.85546875" style="12" customWidth="1"/>
    <col min="18" max="16384" width="8.7109375" style="12"/>
  </cols>
  <sheetData>
    <row r="1" spans="1:17" ht="12.95" customHeight="1" x14ac:dyDescent="0.25">
      <c r="A1" s="10" t="s">
        <v>310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0.100000000000001" customHeight="1" x14ac:dyDescent="0.25">
      <c r="A2" s="11" t="s">
        <v>347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0.100000000000001" customHeight="1" x14ac:dyDescent="0.25">
      <c r="A3" s="11" t="s">
        <v>415</v>
      </c>
      <c r="B3" s="11"/>
      <c r="C3" s="11"/>
      <c r="D3" s="11"/>
      <c r="E3" s="11"/>
      <c r="F3" s="11"/>
      <c r="G3" s="11"/>
      <c r="H3" s="11"/>
      <c r="I3" s="11"/>
      <c r="J3" s="11"/>
      <c r="K3" s="10"/>
      <c r="L3" s="10"/>
      <c r="M3" s="10"/>
      <c r="N3" s="10"/>
      <c r="O3" s="11"/>
      <c r="P3" s="11"/>
      <c r="Q3" s="11"/>
    </row>
    <row r="4" spans="1:17" ht="39" customHeight="1" x14ac:dyDescent="0.25">
      <c r="I4" s="13">
        <v>2013</v>
      </c>
      <c r="K4" s="13">
        <v>2012</v>
      </c>
      <c r="L4" s="28"/>
      <c r="M4" s="13">
        <v>2011</v>
      </c>
      <c r="N4" s="28"/>
      <c r="O4" s="13">
        <v>2010</v>
      </c>
      <c r="Q4" s="13">
        <v>2009</v>
      </c>
    </row>
    <row r="5" spans="1:17" ht="20.100000000000001" customHeight="1" x14ac:dyDescent="0.25">
      <c r="A5" s="12" t="s">
        <v>348</v>
      </c>
      <c r="H5" s="16" t="s">
        <v>315</v>
      </c>
      <c r="I5" s="18">
        <v>0</v>
      </c>
      <c r="J5" s="16"/>
      <c r="K5" s="18">
        <v>0</v>
      </c>
      <c r="L5" s="16"/>
      <c r="M5" s="18">
        <v>518248</v>
      </c>
      <c r="N5" s="16"/>
      <c r="O5" s="18">
        <v>1401305</v>
      </c>
      <c r="Q5" s="18">
        <v>2793846</v>
      </c>
    </row>
    <row r="6" spans="1:17" ht="20.100000000000001" customHeight="1" x14ac:dyDescent="0.25">
      <c r="A6" s="15" t="s">
        <v>349</v>
      </c>
      <c r="B6" s="15"/>
      <c r="C6" s="15"/>
      <c r="D6" s="15"/>
      <c r="E6" s="15"/>
      <c r="F6" s="15"/>
      <c r="G6" s="15"/>
      <c r="H6" s="15"/>
      <c r="I6" s="18"/>
      <c r="J6" s="15"/>
      <c r="K6" s="18"/>
      <c r="L6" s="15"/>
      <c r="M6" s="18"/>
      <c r="N6" s="15"/>
      <c r="O6" s="18"/>
      <c r="Q6" s="18"/>
    </row>
    <row r="7" spans="1:17" ht="12.95" customHeight="1" x14ac:dyDescent="0.25">
      <c r="B7" s="15" t="s">
        <v>350</v>
      </c>
      <c r="C7" s="15"/>
      <c r="D7" s="15"/>
      <c r="E7" s="15"/>
      <c r="F7" s="15"/>
      <c r="G7" s="15"/>
      <c r="H7" s="15"/>
      <c r="I7" s="18">
        <f>'Expense 2013'!B2+15240.2</f>
        <v>66757473.670000032</v>
      </c>
      <c r="J7" s="15"/>
      <c r="K7" s="18">
        <f>52890026+227</f>
        <v>52890253</v>
      </c>
      <c r="L7" s="15"/>
      <c r="M7" s="18">
        <v>22020553</v>
      </c>
      <c r="N7" s="15"/>
      <c r="O7" s="18">
        <v>13594149</v>
      </c>
      <c r="Q7" s="18">
        <v>10256739</v>
      </c>
    </row>
    <row r="8" spans="1:17" ht="12.95" customHeight="1" x14ac:dyDescent="0.25">
      <c r="B8" s="15" t="s">
        <v>351</v>
      </c>
      <c r="C8" s="15"/>
      <c r="D8" s="15"/>
      <c r="E8" s="15"/>
      <c r="F8" s="15"/>
      <c r="G8" s="15"/>
      <c r="H8" s="15"/>
      <c r="I8" s="19">
        <f>'Expense 2013'!B3+10021.51</f>
        <v>25269571.219999995</v>
      </c>
      <c r="J8" s="15"/>
      <c r="K8" s="19">
        <f>66678969-227-K7-53</f>
        <v>13788436</v>
      </c>
      <c r="L8" s="15"/>
      <c r="M8" s="19">
        <v>6243446</v>
      </c>
      <c r="N8" s="15"/>
      <c r="O8" s="19">
        <v>3977158</v>
      </c>
      <c r="Q8" s="19">
        <v>3967028</v>
      </c>
    </row>
    <row r="9" spans="1:17" ht="20.100000000000001" customHeight="1" x14ac:dyDescent="0.25">
      <c r="C9" s="15"/>
      <c r="D9" s="15"/>
      <c r="E9" s="15"/>
      <c r="F9" s="15" t="s">
        <v>352</v>
      </c>
      <c r="G9" s="15"/>
      <c r="H9" s="15"/>
      <c r="I9" s="29">
        <f>SUM(I7:I8)</f>
        <v>92027044.89000003</v>
      </c>
      <c r="J9" s="15"/>
      <c r="K9" s="29">
        <f>SUM(K7:K8)</f>
        <v>66678689</v>
      </c>
      <c r="L9" s="15"/>
      <c r="M9" s="29">
        <v>28263999</v>
      </c>
      <c r="N9" s="15"/>
      <c r="O9" s="29">
        <f>SUM(O7:O8)</f>
        <v>17571307</v>
      </c>
      <c r="Q9" s="29">
        <f>SUM(Q7:Q8)</f>
        <v>14223767</v>
      </c>
    </row>
    <row r="10" spans="1:17" ht="20.100000000000001" customHeight="1" x14ac:dyDescent="0.25">
      <c r="B10" s="15"/>
      <c r="C10" s="15"/>
      <c r="D10" s="15"/>
      <c r="E10" s="15"/>
      <c r="F10" s="15" t="s">
        <v>353</v>
      </c>
      <c r="G10" s="15"/>
      <c r="H10" s="15"/>
      <c r="I10" s="17">
        <f>I5-I9</f>
        <v>-92027044.89000003</v>
      </c>
      <c r="J10" s="15"/>
      <c r="K10" s="17">
        <f>K5-K9</f>
        <v>-66678689</v>
      </c>
      <c r="L10" s="15"/>
      <c r="M10" s="17">
        <f>M5-M9</f>
        <v>-27745751</v>
      </c>
      <c r="N10" s="15"/>
      <c r="O10" s="17">
        <f>O5-O9</f>
        <v>-16170002</v>
      </c>
      <c r="Q10" s="17">
        <f>Q5-Q9</f>
        <v>-11429921</v>
      </c>
    </row>
    <row r="11" spans="1:17" ht="20.100000000000001" customHeight="1" x14ac:dyDescent="0.25">
      <c r="A11" s="15" t="s">
        <v>354</v>
      </c>
      <c r="B11" s="15"/>
      <c r="C11" s="15"/>
      <c r="D11" s="15"/>
      <c r="E11" s="15"/>
      <c r="F11" s="15"/>
      <c r="G11" s="15"/>
      <c r="H11" s="15"/>
      <c r="I11" s="18">
        <f>-'Expense 2013'!B4-323763.41</f>
        <v>41847.970000000088</v>
      </c>
      <c r="J11" s="15"/>
      <c r="K11" s="18">
        <f>-[1]Consolidated!O211-[1]Consolidated!O213-[1]Consolidated!O214</f>
        <v>36573</v>
      </c>
      <c r="L11" s="15"/>
      <c r="M11" s="18">
        <v>79227</v>
      </c>
      <c r="N11" s="15"/>
      <c r="O11" s="18">
        <v>41631</v>
      </c>
      <c r="Q11" s="18">
        <v>8459</v>
      </c>
    </row>
    <row r="12" spans="1:17" ht="12.95" customHeight="1" x14ac:dyDescent="0.25">
      <c r="A12" s="15" t="s">
        <v>300</v>
      </c>
      <c r="B12" s="15"/>
      <c r="C12" s="15"/>
      <c r="D12" s="15"/>
      <c r="E12" s="15"/>
      <c r="F12" s="15"/>
      <c r="G12" s="15"/>
      <c r="H12" s="15"/>
      <c r="I12" s="19">
        <f>-'Expense 2013'!B5</f>
        <v>-382528.04</v>
      </c>
      <c r="J12" s="15"/>
      <c r="K12" s="19">
        <f>-[1]Consolidated!O212</f>
        <v>-195860</v>
      </c>
      <c r="L12" s="15"/>
      <c r="M12" s="19">
        <v>-2706</v>
      </c>
      <c r="N12" s="15"/>
      <c r="O12" s="19">
        <v>-87915</v>
      </c>
      <c r="Q12" s="19">
        <v>-45738</v>
      </c>
    </row>
    <row r="13" spans="1:17" ht="20.100000000000001" customHeight="1" thickBot="1" x14ac:dyDescent="0.3">
      <c r="B13" s="15"/>
      <c r="C13" s="15"/>
      <c r="D13" s="15"/>
      <c r="E13" s="15"/>
      <c r="F13" s="15" t="s">
        <v>355</v>
      </c>
      <c r="G13" s="15"/>
      <c r="H13" s="16" t="s">
        <v>315</v>
      </c>
      <c r="I13" s="22">
        <f>SUM(I10+I11+I12)</f>
        <v>-92367724.960000038</v>
      </c>
      <c r="J13" s="16"/>
      <c r="K13" s="22">
        <f>SUM(K10+K11+K12)</f>
        <v>-66837976</v>
      </c>
      <c r="L13" s="16"/>
      <c r="M13" s="22">
        <f>SUM(M10+M11+M12)</f>
        <v>-27669230</v>
      </c>
      <c r="N13" s="16"/>
      <c r="O13" s="22">
        <f>SUM(O10+O11+O12)</f>
        <v>-16216286</v>
      </c>
      <c r="Q13" s="22">
        <f>SUM(Q10+Q11+Q12)</f>
        <v>-11467200</v>
      </c>
    </row>
    <row r="14" spans="1:17" ht="15.75" thickTop="1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30"/>
      <c r="L14" s="31"/>
      <c r="M14" s="31"/>
      <c r="N14" s="31"/>
      <c r="O14" s="32"/>
    </row>
  </sheetData>
  <pageMargins left="0.8" right="0.7" top="1" bottom="0.8" header="0.5" footer="0.5"/>
  <pageSetup scale="87" firstPageNumber="3" orientation="portrait" blackAndWhite="1" useFirstPageNumber="1" r:id="rId1"/>
  <headerFooter alignWithMargins="0">
    <oddFooter>&amp;C&amp;"Times New Roman,Regular"&amp;11&amp;P</oddFooter>
    <evenFooter>&amp;C&amp;"Times New Roman,Regular"&amp;11&amp;P</evenFooter>
    <firstFooter>&amp;C&amp;"Times New Roman,Regular"&amp;11&amp;P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Expense 2013</vt:lpstr>
      <vt:lpstr>TB consol</vt:lpstr>
      <vt:lpstr>TB consol 2012</vt:lpstr>
      <vt:lpstr>TB Inc 123113</vt:lpstr>
      <vt:lpstr>TB cayman 123113</vt:lpstr>
      <vt:lpstr>TB protegic 123113</vt:lpstr>
      <vt:lpstr>2-BS</vt:lpstr>
      <vt:lpstr>3-Ops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Danise Yam</dc:creator>
  <cp:lastModifiedBy>Danise Yam</cp:lastModifiedBy>
  <dcterms:created xsi:type="dcterms:W3CDTF">2014-08-09T01:46:29Z</dcterms:created>
  <dcterms:modified xsi:type="dcterms:W3CDTF">2014-08-16T06:42:08Z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93039f4d-3267-4ee8-9c28-6784919e4db9</vt:lpwstr>
  </property>
  <property fmtid="{D5CDD505-2E9C-101B-9397-08002B2CF9AE}" pid="3" name="TheranosClassification">
    <vt:lpwstr>Public</vt:lpwstr>
  </property>
</Properties>
</file>