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"/>
    </mc:Choice>
  </mc:AlternateContent>
  <xr:revisionPtr revIDLastSave="0" documentId="8_{F1F9F18A-FCA9-48C7-8CA4-22E9B9457577}" xr6:coauthVersionLast="45" xr6:coauthVersionMax="45" xr10:uidLastSave="{00000000-0000-0000-0000-000000000000}"/>
  <bookViews>
    <workbookView xWindow="-28920" yWindow="-4680" windowWidth="29040" windowHeight="15840" activeTab="1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5" hidden="1">conductor_pz_summary_hftd_23_re!$A$1:$S$3636</definedName>
    <definedName name="_xlnm._FilterDatabase" localSheetId="1" hidden="1">'Project List'!$A$2:$BO$191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14" i="1" l="1"/>
  <c r="AP113" i="1"/>
  <c r="AP112" i="1"/>
  <c r="AP111" i="1"/>
  <c r="AP104" i="1"/>
  <c r="F21" i="7" l="1"/>
  <c r="K112" i="1" l="1"/>
  <c r="G112" i="1" s="1"/>
  <c r="K113" i="1"/>
  <c r="G113" i="1" s="1"/>
  <c r="K114" i="1"/>
  <c r="G114" i="1" s="1"/>
  <c r="R112" i="1" l="1"/>
  <c r="R113" i="1"/>
  <c r="R114" i="1"/>
  <c r="Q130" i="1" l="1"/>
  <c r="R130" i="1"/>
  <c r="S130" i="1"/>
  <c r="U130" i="1"/>
  <c r="V130" i="1"/>
  <c r="Q129" i="1"/>
  <c r="R129" i="1"/>
  <c r="S129" i="1"/>
  <c r="U129" i="1"/>
  <c r="V129" i="1"/>
  <c r="T130" i="1" l="1"/>
  <c r="T129" i="1"/>
  <c r="I24" i="7"/>
  <c r="I23" i="7"/>
  <c r="I22" i="7"/>
  <c r="I21" i="7"/>
  <c r="I20" i="7"/>
  <c r="I19" i="7"/>
  <c r="H24" i="7"/>
  <c r="H23" i="7"/>
  <c r="H21" i="7"/>
  <c r="H20" i="7"/>
  <c r="H19" i="7"/>
  <c r="H18" i="7"/>
  <c r="G24" i="7"/>
  <c r="G23" i="7"/>
  <c r="G21" i="7"/>
  <c r="G20" i="7"/>
  <c r="G19" i="7"/>
  <c r="F24" i="7"/>
  <c r="F23" i="7"/>
  <c r="F20" i="7"/>
  <c r="F19" i="7"/>
  <c r="I18" i="7"/>
  <c r="G18" i="7"/>
  <c r="F18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C21" i="7"/>
  <c r="C20" i="7"/>
  <c r="C19" i="7"/>
  <c r="C17" i="7"/>
  <c r="C16" i="7"/>
  <c r="C15" i="7"/>
  <c r="C12" i="7"/>
  <c r="I25" i="7" l="1"/>
  <c r="D25" i="7"/>
  <c r="Q131" i="1"/>
  <c r="R131" i="1"/>
  <c r="S131" i="1"/>
  <c r="U131" i="1"/>
  <c r="V131" i="1"/>
  <c r="V114" i="1"/>
  <c r="U114" i="1"/>
  <c r="V113" i="1"/>
  <c r="U113" i="1"/>
  <c r="V112" i="1"/>
  <c r="U112" i="1"/>
  <c r="Q112" i="1"/>
  <c r="Q113" i="1"/>
  <c r="Q114" i="1"/>
  <c r="T131" i="1" l="1"/>
  <c r="W131" i="1" s="1"/>
  <c r="T113" i="1"/>
  <c r="W113" i="1" s="1"/>
  <c r="T112" i="1"/>
  <c r="W112" i="1" s="1"/>
  <c r="T114" i="1"/>
  <c r="W114" i="1" s="1"/>
  <c r="K170" i="1"/>
  <c r="K172" i="1"/>
  <c r="K169" i="1"/>
  <c r="K164" i="1"/>
  <c r="K178" i="1"/>
  <c r="K177" i="1"/>
  <c r="K176" i="1"/>
  <c r="K163" i="1"/>
  <c r="K161" i="1"/>
  <c r="K157" i="1"/>
  <c r="K156" i="1"/>
  <c r="K171" i="1"/>
  <c r="K153" i="1"/>
  <c r="K168" i="1"/>
  <c r="K167" i="1"/>
  <c r="K160" i="1"/>
  <c r="K152" i="1"/>
  <c r="K166" i="1"/>
  <c r="K175" i="1"/>
  <c r="K174" i="1"/>
  <c r="K159" i="1"/>
  <c r="K155" i="1"/>
  <c r="K158" i="1"/>
  <c r="K151" i="1"/>
  <c r="K150" i="1"/>
  <c r="K173" i="1"/>
  <c r="K149" i="1"/>
  <c r="K165" i="1"/>
  <c r="K104" i="1"/>
  <c r="K154" i="1"/>
  <c r="AW180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1" i="1"/>
  <c r="AW96" i="1"/>
  <c r="AW98" i="1"/>
  <c r="AW100" i="1"/>
  <c r="AW101" i="1"/>
  <c r="AW102" i="1"/>
  <c r="AW162" i="1"/>
  <c r="AW109" i="1"/>
  <c r="AW111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79" i="1"/>
  <c r="AW56" i="1"/>
  <c r="AL82" i="1"/>
  <c r="H22" i="7" s="1"/>
  <c r="H25" i="7" s="1"/>
  <c r="BF56" i="1"/>
  <c r="K180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62" i="1"/>
  <c r="K105" i="1"/>
  <c r="K106" i="1"/>
  <c r="K107" i="1"/>
  <c r="K108" i="1"/>
  <c r="K109" i="1"/>
  <c r="K110" i="1"/>
  <c r="K111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56" i="1"/>
  <c r="AK130" i="1" l="1"/>
  <c r="W130" i="1" s="1"/>
  <c r="AJ129" i="1"/>
  <c r="W129" i="1" s="1"/>
  <c r="AK128" i="1"/>
  <c r="G22" i="7" s="1"/>
  <c r="G25" i="7" s="1"/>
  <c r="G130" i="1"/>
  <c r="G129" i="1"/>
  <c r="AJ127" i="1"/>
  <c r="F22" i="7" s="1"/>
  <c r="F25" i="7" s="1"/>
  <c r="G128" i="1"/>
  <c r="G127" i="1"/>
  <c r="AM126" i="1"/>
  <c r="Q126" i="1"/>
  <c r="R126" i="1"/>
  <c r="S126" i="1"/>
  <c r="U126" i="1"/>
  <c r="V126" i="1"/>
  <c r="Q127" i="1"/>
  <c r="R127" i="1"/>
  <c r="S127" i="1"/>
  <c r="U127" i="1"/>
  <c r="V127" i="1"/>
  <c r="Q128" i="1"/>
  <c r="R128" i="1"/>
  <c r="S128" i="1"/>
  <c r="U128" i="1"/>
  <c r="V128" i="1"/>
  <c r="G126" i="1"/>
  <c r="T128" i="1" l="1"/>
  <c r="W128" i="1" s="1"/>
  <c r="T126" i="1"/>
  <c r="W126" i="1" s="1"/>
  <c r="T127" i="1"/>
  <c r="W127" i="1" s="1"/>
  <c r="AK143" i="1" l="1"/>
  <c r="G178" i="1"/>
  <c r="G164" i="1"/>
  <c r="G169" i="1"/>
  <c r="G172" i="1"/>
  <c r="G81" i="1"/>
  <c r="C23" i="7" s="1"/>
  <c r="G83" i="1"/>
  <c r="G84" i="1"/>
  <c r="G135" i="1"/>
  <c r="G134" i="1"/>
  <c r="C14" i="7" s="1"/>
  <c r="G132" i="1"/>
  <c r="G133" i="1"/>
  <c r="V81" i="1"/>
  <c r="V83" i="1"/>
  <c r="V84" i="1"/>
  <c r="V135" i="1"/>
  <c r="V134" i="1"/>
  <c r="V132" i="1"/>
  <c r="V133" i="1"/>
  <c r="U81" i="1"/>
  <c r="U83" i="1"/>
  <c r="U84" i="1"/>
  <c r="U135" i="1"/>
  <c r="U134" i="1"/>
  <c r="U132" i="1"/>
  <c r="U133" i="1"/>
  <c r="S81" i="1"/>
  <c r="S83" i="1"/>
  <c r="S84" i="1"/>
  <c r="S135" i="1"/>
  <c r="S134" i="1"/>
  <c r="S132" i="1"/>
  <c r="S133" i="1"/>
  <c r="R84" i="1"/>
  <c r="R135" i="1"/>
  <c r="R134" i="1"/>
  <c r="R132" i="1"/>
  <c r="R133" i="1"/>
  <c r="R81" i="1"/>
  <c r="R83" i="1"/>
  <c r="Q135" i="1"/>
  <c r="Q134" i="1"/>
  <c r="Q132" i="1"/>
  <c r="Q133" i="1"/>
  <c r="Q81" i="1"/>
  <c r="Q83" i="1"/>
  <c r="Q84" i="1"/>
  <c r="T81" i="1" l="1"/>
  <c r="W81" i="1" s="1"/>
  <c r="T135" i="1"/>
  <c r="W135" i="1" s="1"/>
  <c r="T83" i="1"/>
  <c r="W83" i="1" s="1"/>
  <c r="T84" i="1"/>
  <c r="W84" i="1" s="1"/>
  <c r="T133" i="1"/>
  <c r="W133" i="1" s="1"/>
  <c r="T132" i="1"/>
  <c r="W132" i="1" s="1"/>
  <c r="T134" i="1"/>
  <c r="W134" i="1" s="1"/>
  <c r="AP124" i="1" l="1"/>
  <c r="V87" i="1" l="1"/>
  <c r="V90" i="1"/>
  <c r="V115" i="1"/>
  <c r="V117" i="1"/>
  <c r="V116" i="1"/>
  <c r="V91" i="1"/>
  <c r="V88" i="1"/>
  <c r="V89" i="1"/>
  <c r="V118" i="1"/>
  <c r="V92" i="1"/>
  <c r="V94" i="1"/>
  <c r="V93" i="1"/>
  <c r="V99" i="1"/>
  <c r="V95" i="1"/>
  <c r="V97" i="1"/>
  <c r="V119" i="1"/>
  <c r="V96" i="1"/>
  <c r="V100" i="1"/>
  <c r="V98" i="1"/>
  <c r="V120" i="1"/>
  <c r="V121" i="1"/>
  <c r="V122" i="1"/>
  <c r="V72" i="1"/>
  <c r="V80" i="1"/>
  <c r="V73" i="1"/>
  <c r="V60" i="1"/>
  <c r="V62" i="1"/>
  <c r="V191" i="1"/>
  <c r="V59" i="1"/>
  <c r="V180" i="1"/>
  <c r="V66" i="1"/>
  <c r="V67" i="1"/>
  <c r="V77" i="1"/>
  <c r="V69" i="1"/>
  <c r="V71" i="1"/>
  <c r="V68" i="1"/>
  <c r="V70" i="1"/>
  <c r="V63" i="1"/>
  <c r="V64" i="1"/>
  <c r="V65" i="1"/>
  <c r="V101" i="1"/>
  <c r="V74" i="1"/>
  <c r="V75" i="1"/>
  <c r="V78" i="1"/>
  <c r="V79" i="1"/>
  <c r="V76" i="1"/>
  <c r="V61" i="1"/>
  <c r="V102" i="1"/>
  <c r="V103" i="1"/>
  <c r="V58" i="1"/>
  <c r="V57" i="1"/>
  <c r="V189" i="1"/>
  <c r="V82" i="1"/>
  <c r="V181" i="1"/>
  <c r="V86" i="1"/>
  <c r="V182" i="1"/>
  <c r="V183" i="1"/>
  <c r="V184" i="1"/>
  <c r="V185" i="1"/>
  <c r="V186" i="1"/>
  <c r="V187" i="1"/>
  <c r="V85" i="1"/>
  <c r="V56" i="1"/>
  <c r="V148" i="1"/>
  <c r="V136" i="1"/>
  <c r="V188" i="1"/>
  <c r="V137" i="1"/>
  <c r="V138" i="1"/>
  <c r="V139" i="1"/>
  <c r="V140" i="1"/>
  <c r="V141" i="1"/>
  <c r="V142" i="1"/>
  <c r="V143" i="1"/>
  <c r="V144" i="1"/>
  <c r="V145" i="1"/>
  <c r="V146" i="1"/>
  <c r="V147" i="1"/>
  <c r="V179" i="1"/>
  <c r="V123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124" i="1"/>
  <c r="V125" i="1"/>
  <c r="V109" i="1"/>
  <c r="V110" i="1"/>
  <c r="V107" i="1"/>
  <c r="V108" i="1"/>
  <c r="V111" i="1"/>
  <c r="V106" i="1"/>
  <c r="V105" i="1"/>
  <c r="V154" i="1"/>
  <c r="V104" i="1"/>
  <c r="V165" i="1"/>
  <c r="V149" i="1"/>
  <c r="V173" i="1"/>
  <c r="V150" i="1"/>
  <c r="V151" i="1"/>
  <c r="V158" i="1"/>
  <c r="V155" i="1"/>
  <c r="V159" i="1"/>
  <c r="V190" i="1"/>
  <c r="V174" i="1"/>
  <c r="V176" i="1"/>
  <c r="V175" i="1"/>
  <c r="V166" i="1"/>
  <c r="V152" i="1"/>
  <c r="V160" i="1"/>
  <c r="V167" i="1"/>
  <c r="V168" i="1"/>
  <c r="V170" i="1"/>
  <c r="V153" i="1"/>
  <c r="V171" i="1"/>
  <c r="V156" i="1"/>
  <c r="V157" i="1"/>
  <c r="V161" i="1"/>
  <c r="V162" i="1"/>
  <c r="V163" i="1"/>
  <c r="V178" i="1"/>
  <c r="V164" i="1"/>
  <c r="V169" i="1"/>
  <c r="V172" i="1"/>
  <c r="V177" i="1"/>
  <c r="U87" i="1"/>
  <c r="U90" i="1"/>
  <c r="U115" i="1"/>
  <c r="U117" i="1"/>
  <c r="U116" i="1"/>
  <c r="U91" i="1"/>
  <c r="U88" i="1"/>
  <c r="U89" i="1"/>
  <c r="U118" i="1"/>
  <c r="U92" i="1"/>
  <c r="U94" i="1"/>
  <c r="U93" i="1"/>
  <c r="U99" i="1"/>
  <c r="U95" i="1"/>
  <c r="U97" i="1"/>
  <c r="U119" i="1"/>
  <c r="U96" i="1"/>
  <c r="U100" i="1"/>
  <c r="U98" i="1"/>
  <c r="U120" i="1"/>
  <c r="U121" i="1"/>
  <c r="U122" i="1"/>
  <c r="U72" i="1"/>
  <c r="U80" i="1"/>
  <c r="U73" i="1"/>
  <c r="U60" i="1"/>
  <c r="U62" i="1"/>
  <c r="U191" i="1"/>
  <c r="U59" i="1"/>
  <c r="U180" i="1"/>
  <c r="U66" i="1"/>
  <c r="U67" i="1"/>
  <c r="U77" i="1"/>
  <c r="U69" i="1"/>
  <c r="U71" i="1"/>
  <c r="U68" i="1"/>
  <c r="U70" i="1"/>
  <c r="U63" i="1"/>
  <c r="U64" i="1"/>
  <c r="U65" i="1"/>
  <c r="U101" i="1"/>
  <c r="U74" i="1"/>
  <c r="U75" i="1"/>
  <c r="U78" i="1"/>
  <c r="U79" i="1"/>
  <c r="U76" i="1"/>
  <c r="U61" i="1"/>
  <c r="U102" i="1"/>
  <c r="U103" i="1"/>
  <c r="U58" i="1"/>
  <c r="U57" i="1"/>
  <c r="U189" i="1"/>
  <c r="U82" i="1"/>
  <c r="U181" i="1"/>
  <c r="U86" i="1"/>
  <c r="U182" i="1"/>
  <c r="U183" i="1"/>
  <c r="U184" i="1"/>
  <c r="U185" i="1"/>
  <c r="U186" i="1"/>
  <c r="U187" i="1"/>
  <c r="U85" i="1"/>
  <c r="U56" i="1"/>
  <c r="U148" i="1"/>
  <c r="U136" i="1"/>
  <c r="U188" i="1"/>
  <c r="U137" i="1"/>
  <c r="U138" i="1"/>
  <c r="U139" i="1"/>
  <c r="U140" i="1"/>
  <c r="U141" i="1"/>
  <c r="U142" i="1"/>
  <c r="U143" i="1"/>
  <c r="U144" i="1"/>
  <c r="U145" i="1"/>
  <c r="U146" i="1"/>
  <c r="U147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124" i="1"/>
  <c r="U125" i="1"/>
  <c r="U109" i="1"/>
  <c r="U110" i="1"/>
  <c r="U107" i="1"/>
  <c r="U108" i="1"/>
  <c r="U111" i="1"/>
  <c r="U106" i="1"/>
  <c r="U105" i="1"/>
  <c r="U154" i="1"/>
  <c r="U104" i="1"/>
  <c r="U165" i="1"/>
  <c r="U149" i="1"/>
  <c r="U173" i="1"/>
  <c r="U150" i="1"/>
  <c r="U151" i="1"/>
  <c r="U158" i="1"/>
  <c r="U155" i="1"/>
  <c r="U159" i="1"/>
  <c r="U190" i="1"/>
  <c r="U174" i="1"/>
  <c r="U176" i="1"/>
  <c r="U175" i="1"/>
  <c r="U166" i="1"/>
  <c r="U152" i="1"/>
  <c r="U160" i="1"/>
  <c r="U167" i="1"/>
  <c r="U168" i="1"/>
  <c r="U170" i="1"/>
  <c r="U153" i="1"/>
  <c r="U171" i="1"/>
  <c r="U156" i="1"/>
  <c r="U157" i="1"/>
  <c r="U161" i="1"/>
  <c r="U162" i="1"/>
  <c r="U163" i="1"/>
  <c r="U177" i="1"/>
  <c r="U178" i="1"/>
  <c r="U164" i="1"/>
  <c r="U169" i="1"/>
  <c r="U172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123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87" i="1"/>
  <c r="S90" i="1"/>
  <c r="S115" i="1"/>
  <c r="S117" i="1"/>
  <c r="S116" i="1"/>
  <c r="S91" i="1"/>
  <c r="S88" i="1"/>
  <c r="S89" i="1"/>
  <c r="S118" i="1"/>
  <c r="S92" i="1"/>
  <c r="S94" i="1"/>
  <c r="S93" i="1"/>
  <c r="S99" i="1"/>
  <c r="S95" i="1"/>
  <c r="S97" i="1"/>
  <c r="S119" i="1"/>
  <c r="S96" i="1"/>
  <c r="S100" i="1"/>
  <c r="S98" i="1"/>
  <c r="S120" i="1"/>
  <c r="S121" i="1"/>
  <c r="S122" i="1"/>
  <c r="S72" i="1"/>
  <c r="S80" i="1"/>
  <c r="S73" i="1"/>
  <c r="S60" i="1"/>
  <c r="S62" i="1"/>
  <c r="S191" i="1"/>
  <c r="S59" i="1"/>
  <c r="S180" i="1"/>
  <c r="S66" i="1"/>
  <c r="S67" i="1"/>
  <c r="S77" i="1"/>
  <c r="S69" i="1"/>
  <c r="S71" i="1"/>
  <c r="S68" i="1"/>
  <c r="S70" i="1"/>
  <c r="S63" i="1"/>
  <c r="S64" i="1"/>
  <c r="S65" i="1"/>
  <c r="S101" i="1"/>
  <c r="S74" i="1"/>
  <c r="S75" i="1"/>
  <c r="S78" i="1"/>
  <c r="S79" i="1"/>
  <c r="S76" i="1"/>
  <c r="S61" i="1"/>
  <c r="S102" i="1"/>
  <c r="S103" i="1"/>
  <c r="S58" i="1"/>
  <c r="S57" i="1"/>
  <c r="S189" i="1"/>
  <c r="S82" i="1"/>
  <c r="S181" i="1"/>
  <c r="S86" i="1"/>
  <c r="S182" i="1"/>
  <c r="S183" i="1"/>
  <c r="S184" i="1"/>
  <c r="S185" i="1"/>
  <c r="S186" i="1"/>
  <c r="S187" i="1"/>
  <c r="S85" i="1"/>
  <c r="S56" i="1"/>
  <c r="S148" i="1"/>
  <c r="S136" i="1"/>
  <c r="S188" i="1"/>
  <c r="S137" i="1"/>
  <c r="S138" i="1"/>
  <c r="S139" i="1"/>
  <c r="S140" i="1"/>
  <c r="S141" i="1"/>
  <c r="S142" i="1"/>
  <c r="S143" i="1"/>
  <c r="S144" i="1"/>
  <c r="S145" i="1"/>
  <c r="S146" i="1"/>
  <c r="S147" i="1"/>
  <c r="S177" i="1"/>
  <c r="S178" i="1"/>
  <c r="S164" i="1"/>
  <c r="S169" i="1"/>
  <c r="S172" i="1"/>
  <c r="S171" i="1"/>
  <c r="S156" i="1"/>
  <c r="S157" i="1"/>
  <c r="S161" i="1"/>
  <c r="S162" i="1"/>
  <c r="S163" i="1"/>
  <c r="S150" i="1"/>
  <c r="S151" i="1"/>
  <c r="S158" i="1"/>
  <c r="S155" i="1"/>
  <c r="S159" i="1"/>
  <c r="S190" i="1"/>
  <c r="S174" i="1"/>
  <c r="S176" i="1"/>
  <c r="S175" i="1"/>
  <c r="S166" i="1"/>
  <c r="S152" i="1"/>
  <c r="S160" i="1"/>
  <c r="S167" i="1"/>
  <c r="S168" i="1"/>
  <c r="S170" i="1"/>
  <c r="S153" i="1"/>
  <c r="S7" i="1"/>
  <c r="S22" i="1"/>
  <c r="S41" i="1"/>
  <c r="S124" i="1"/>
  <c r="S125" i="1"/>
  <c r="S109" i="1"/>
  <c r="S110" i="1"/>
  <c r="S107" i="1"/>
  <c r="S108" i="1"/>
  <c r="S111" i="1"/>
  <c r="S106" i="1"/>
  <c r="S105" i="1"/>
  <c r="S154" i="1"/>
  <c r="S104" i="1"/>
  <c r="S165" i="1"/>
  <c r="S149" i="1"/>
  <c r="S173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123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60" i="1"/>
  <c r="R167" i="1"/>
  <c r="R168" i="1"/>
  <c r="R170" i="1"/>
  <c r="R153" i="1"/>
  <c r="R171" i="1"/>
  <c r="R156" i="1"/>
  <c r="R157" i="1"/>
  <c r="R161" i="1"/>
  <c r="R162" i="1"/>
  <c r="R163" i="1"/>
  <c r="R177" i="1"/>
  <c r="R178" i="1"/>
  <c r="R164" i="1"/>
  <c r="R169" i="1"/>
  <c r="R172" i="1"/>
  <c r="R150" i="1"/>
  <c r="R151" i="1"/>
  <c r="R158" i="1"/>
  <c r="R155" i="1"/>
  <c r="R159" i="1"/>
  <c r="R190" i="1"/>
  <c r="R174" i="1"/>
  <c r="R176" i="1"/>
  <c r="R175" i="1"/>
  <c r="R166" i="1"/>
  <c r="R152" i="1"/>
  <c r="R22" i="1"/>
  <c r="R41" i="1"/>
  <c r="R124" i="1"/>
  <c r="R125" i="1"/>
  <c r="R109" i="1"/>
  <c r="R110" i="1"/>
  <c r="R107" i="1"/>
  <c r="R108" i="1"/>
  <c r="R111" i="1"/>
  <c r="R106" i="1"/>
  <c r="R105" i="1"/>
  <c r="R154" i="1"/>
  <c r="R104" i="1"/>
  <c r="R165" i="1"/>
  <c r="R149" i="1"/>
  <c r="R173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87" i="1"/>
  <c r="R90" i="1"/>
  <c r="R115" i="1"/>
  <c r="R117" i="1"/>
  <c r="R116" i="1"/>
  <c r="R91" i="1"/>
  <c r="R88" i="1"/>
  <c r="R89" i="1"/>
  <c r="R118" i="1"/>
  <c r="R92" i="1"/>
  <c r="R94" i="1"/>
  <c r="R93" i="1"/>
  <c r="R99" i="1"/>
  <c r="R95" i="1"/>
  <c r="R97" i="1"/>
  <c r="R119" i="1"/>
  <c r="R96" i="1"/>
  <c r="R100" i="1"/>
  <c r="R98" i="1"/>
  <c r="R120" i="1"/>
  <c r="R121" i="1"/>
  <c r="R122" i="1"/>
  <c r="R72" i="1"/>
  <c r="R80" i="1"/>
  <c r="R73" i="1"/>
  <c r="R60" i="1"/>
  <c r="R62" i="1"/>
  <c r="R191" i="1"/>
  <c r="R59" i="1"/>
  <c r="R180" i="1"/>
  <c r="R66" i="1"/>
  <c r="R67" i="1"/>
  <c r="R77" i="1"/>
  <c r="R69" i="1"/>
  <c r="R71" i="1"/>
  <c r="R68" i="1"/>
  <c r="R70" i="1"/>
  <c r="R63" i="1"/>
  <c r="R64" i="1"/>
  <c r="R65" i="1"/>
  <c r="R101" i="1"/>
  <c r="R74" i="1"/>
  <c r="R75" i="1"/>
  <c r="R78" i="1"/>
  <c r="R79" i="1"/>
  <c r="R76" i="1"/>
  <c r="R61" i="1"/>
  <c r="R102" i="1"/>
  <c r="R103" i="1"/>
  <c r="R58" i="1"/>
  <c r="R57" i="1"/>
  <c r="R189" i="1"/>
  <c r="R82" i="1"/>
  <c r="R181" i="1"/>
  <c r="R86" i="1"/>
  <c r="R182" i="1"/>
  <c r="R183" i="1"/>
  <c r="R184" i="1"/>
  <c r="R185" i="1"/>
  <c r="R186" i="1"/>
  <c r="R187" i="1"/>
  <c r="R85" i="1"/>
  <c r="R56" i="1"/>
  <c r="R148" i="1"/>
  <c r="R136" i="1"/>
  <c r="R188" i="1"/>
  <c r="R137" i="1"/>
  <c r="R138" i="1"/>
  <c r="R139" i="1"/>
  <c r="R140" i="1"/>
  <c r="R141" i="1"/>
  <c r="R142" i="1"/>
  <c r="R143" i="1"/>
  <c r="R144" i="1"/>
  <c r="R145" i="1"/>
  <c r="R146" i="1"/>
  <c r="R147" i="1"/>
  <c r="R123" i="1"/>
  <c r="R3" i="1"/>
  <c r="Q87" i="1"/>
  <c r="Q90" i="1"/>
  <c r="Q115" i="1"/>
  <c r="Q117" i="1"/>
  <c r="T117" i="1" s="1"/>
  <c r="Q116" i="1"/>
  <c r="Q91" i="1"/>
  <c r="Q88" i="1"/>
  <c r="Q89" i="1"/>
  <c r="Q118" i="1"/>
  <c r="Q92" i="1"/>
  <c r="Q94" i="1"/>
  <c r="Q93" i="1"/>
  <c r="T93" i="1" s="1"/>
  <c r="Q99" i="1"/>
  <c r="Q95" i="1"/>
  <c r="Q97" i="1"/>
  <c r="Q119" i="1"/>
  <c r="Q96" i="1"/>
  <c r="Q100" i="1"/>
  <c r="Q98" i="1"/>
  <c r="Q120" i="1"/>
  <c r="T120" i="1" s="1"/>
  <c r="Q121" i="1"/>
  <c r="Q122" i="1"/>
  <c r="Q72" i="1"/>
  <c r="Q80" i="1"/>
  <c r="Q73" i="1"/>
  <c r="Q60" i="1"/>
  <c r="Q62" i="1"/>
  <c r="Q191" i="1"/>
  <c r="Q59" i="1"/>
  <c r="Q180" i="1"/>
  <c r="Q66" i="1"/>
  <c r="Q67" i="1"/>
  <c r="Q77" i="1"/>
  <c r="Q69" i="1"/>
  <c r="Q71" i="1"/>
  <c r="Q68" i="1"/>
  <c r="Q70" i="1"/>
  <c r="Q63" i="1"/>
  <c r="Q64" i="1"/>
  <c r="Q65" i="1"/>
  <c r="Q101" i="1"/>
  <c r="Q74" i="1"/>
  <c r="Q75" i="1"/>
  <c r="Q78" i="1"/>
  <c r="Q79" i="1"/>
  <c r="Q76" i="1"/>
  <c r="Q61" i="1"/>
  <c r="Q102" i="1"/>
  <c r="Q103" i="1"/>
  <c r="Q58" i="1"/>
  <c r="Q57" i="1"/>
  <c r="Q189" i="1"/>
  <c r="Q82" i="1"/>
  <c r="Q181" i="1"/>
  <c r="Q86" i="1"/>
  <c r="Q182" i="1"/>
  <c r="Q183" i="1"/>
  <c r="Q184" i="1"/>
  <c r="Q185" i="1"/>
  <c r="Q186" i="1"/>
  <c r="Q187" i="1"/>
  <c r="Q85" i="1"/>
  <c r="Q56" i="1"/>
  <c r="Q148" i="1"/>
  <c r="Q136" i="1"/>
  <c r="Q188" i="1"/>
  <c r="Q137" i="1"/>
  <c r="Q138" i="1"/>
  <c r="Q139" i="1"/>
  <c r="Q140" i="1"/>
  <c r="Q141" i="1"/>
  <c r="Q142" i="1"/>
  <c r="Q143" i="1"/>
  <c r="Q144" i="1"/>
  <c r="Q145" i="1"/>
  <c r="Q146" i="1"/>
  <c r="Q147" i="1"/>
  <c r="Q35" i="1"/>
  <c r="Q27" i="1"/>
  <c r="Q17" i="1"/>
  <c r="Q11" i="1"/>
  <c r="Q34" i="1"/>
  <c r="Q25" i="1"/>
  <c r="T25" i="1" s="1"/>
  <c r="Q43" i="1"/>
  <c r="Q37" i="1"/>
  <c r="Q13" i="1"/>
  <c r="Q42" i="1"/>
  <c r="Q44" i="1"/>
  <c r="Q28" i="1"/>
  <c r="Q40" i="1"/>
  <c r="Q9" i="1"/>
  <c r="T9" i="1" s="1"/>
  <c r="Q7" i="1"/>
  <c r="Q22" i="1"/>
  <c r="Q41" i="1"/>
  <c r="Q124" i="1"/>
  <c r="Q125" i="1"/>
  <c r="Q109" i="1"/>
  <c r="Q110" i="1"/>
  <c r="Q107" i="1"/>
  <c r="T107" i="1" s="1"/>
  <c r="Q108" i="1"/>
  <c r="Q111" i="1"/>
  <c r="Q106" i="1"/>
  <c r="Q105" i="1"/>
  <c r="Q154" i="1"/>
  <c r="Q104" i="1"/>
  <c r="Q165" i="1"/>
  <c r="Q149" i="1"/>
  <c r="T149" i="1" s="1"/>
  <c r="Q173" i="1"/>
  <c r="Q150" i="1"/>
  <c r="Q151" i="1"/>
  <c r="Q158" i="1"/>
  <c r="Q155" i="1"/>
  <c r="Q159" i="1"/>
  <c r="Q190" i="1"/>
  <c r="Q174" i="1"/>
  <c r="Q176" i="1"/>
  <c r="Q175" i="1"/>
  <c r="Q166" i="1"/>
  <c r="Q152" i="1"/>
  <c r="Q160" i="1"/>
  <c r="Q167" i="1"/>
  <c r="Q168" i="1"/>
  <c r="Q170" i="1"/>
  <c r="Q153" i="1"/>
  <c r="Q171" i="1"/>
  <c r="Q156" i="1"/>
  <c r="Q157" i="1"/>
  <c r="Q161" i="1"/>
  <c r="Q162" i="1"/>
  <c r="Q163" i="1"/>
  <c r="Q177" i="1"/>
  <c r="Q178" i="1"/>
  <c r="Q164" i="1"/>
  <c r="Q169" i="1"/>
  <c r="Q172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123" i="1"/>
  <c r="G177" i="1"/>
  <c r="T137" i="1" l="1"/>
  <c r="T75" i="1"/>
  <c r="T71" i="1"/>
  <c r="T62" i="1"/>
  <c r="W62" i="1" s="1"/>
  <c r="T184" i="1"/>
  <c r="W184" i="1" s="1"/>
  <c r="T74" i="1"/>
  <c r="W74" i="1" s="1"/>
  <c r="T60" i="1"/>
  <c r="W60" i="1" s="1"/>
  <c r="T115" i="1"/>
  <c r="W115" i="1" s="1"/>
  <c r="T188" i="1"/>
  <c r="W188" i="1" s="1"/>
  <c r="T58" i="1"/>
  <c r="W58" i="1" s="1"/>
  <c r="T69" i="1"/>
  <c r="W69" i="1" s="1"/>
  <c r="T98" i="1"/>
  <c r="W98" i="1" s="1"/>
  <c r="T94" i="1"/>
  <c r="W94" i="1" s="1"/>
  <c r="T181" i="1"/>
  <c r="W181" i="1" s="1"/>
  <c r="T76" i="1"/>
  <c r="W76" i="1" s="1"/>
  <c r="T63" i="1"/>
  <c r="W63" i="1" s="1"/>
  <c r="T180" i="1"/>
  <c r="T97" i="1"/>
  <c r="W97" i="1" s="1"/>
  <c r="T88" i="1"/>
  <c r="W88" i="1" s="1"/>
  <c r="T48" i="1"/>
  <c r="W48" i="1" s="1"/>
  <c r="T11" i="1"/>
  <c r="W11" i="1" s="1"/>
  <c r="T183" i="1"/>
  <c r="W183" i="1" s="1"/>
  <c r="T77" i="1"/>
  <c r="W77" i="1" s="1"/>
  <c r="T100" i="1"/>
  <c r="W100" i="1" s="1"/>
  <c r="T136" i="1"/>
  <c r="T103" i="1"/>
  <c r="W103" i="1" s="1"/>
  <c r="T101" i="1"/>
  <c r="W101" i="1" s="1"/>
  <c r="T73" i="1"/>
  <c r="W73" i="1" s="1"/>
  <c r="T92" i="1"/>
  <c r="W92" i="1" s="1"/>
  <c r="T90" i="1"/>
  <c r="W90" i="1" s="1"/>
  <c r="T121" i="1"/>
  <c r="W121" i="1" s="1"/>
  <c r="T91" i="1"/>
  <c r="W91" i="1" s="1"/>
  <c r="T139" i="1"/>
  <c r="W139" i="1" s="1"/>
  <c r="T59" i="1"/>
  <c r="W59" i="1" s="1"/>
  <c r="T95" i="1"/>
  <c r="W95" i="1" s="1"/>
  <c r="T150" i="1"/>
  <c r="W150" i="1" s="1"/>
  <c r="T111" i="1"/>
  <c r="W111" i="1" s="1"/>
  <c r="T22" i="1"/>
  <c r="W22" i="1" s="1"/>
  <c r="T37" i="1"/>
  <c r="W37" i="1" s="1"/>
  <c r="T109" i="1"/>
  <c r="W109" i="1" s="1"/>
  <c r="T104" i="1"/>
  <c r="W104" i="1" s="1"/>
  <c r="T28" i="1"/>
  <c r="W28" i="1" s="1"/>
  <c r="T54" i="1"/>
  <c r="W54" i="1" s="1"/>
  <c r="T30" i="1"/>
  <c r="W30" i="1" s="1"/>
  <c r="T165" i="1"/>
  <c r="W165" i="1" s="1"/>
  <c r="T110" i="1"/>
  <c r="W110" i="1" s="1"/>
  <c r="T40" i="1"/>
  <c r="W40" i="1" s="1"/>
  <c r="T34" i="1"/>
  <c r="W34" i="1" s="1"/>
  <c r="W107" i="1"/>
  <c r="T49" i="1"/>
  <c r="W49" i="1" s="1"/>
  <c r="T122" i="1"/>
  <c r="W122" i="1" s="1"/>
  <c r="T106" i="1"/>
  <c r="W106" i="1" s="1"/>
  <c r="T35" i="1"/>
  <c r="W35" i="1" s="1"/>
  <c r="T151" i="1"/>
  <c r="W151" i="1" s="1"/>
  <c r="T41" i="1"/>
  <c r="W41" i="1" s="1"/>
  <c r="T13" i="1"/>
  <c r="W13" i="1" s="1"/>
  <c r="T140" i="1"/>
  <c r="W140" i="1" s="1"/>
  <c r="T6" i="1"/>
  <c r="W6" i="1" s="1"/>
  <c r="T173" i="1"/>
  <c r="W173" i="1" s="1"/>
  <c r="T108" i="1"/>
  <c r="W108" i="1" s="1"/>
  <c r="T7" i="1"/>
  <c r="W7" i="1" s="1"/>
  <c r="T43" i="1"/>
  <c r="W43" i="1" s="1"/>
  <c r="T138" i="1"/>
  <c r="W138" i="1" s="1"/>
  <c r="T189" i="1"/>
  <c r="W189" i="1" s="1"/>
  <c r="T78" i="1"/>
  <c r="W78" i="1" s="1"/>
  <c r="T68" i="1"/>
  <c r="W68" i="1" s="1"/>
  <c r="T191" i="1"/>
  <c r="W191" i="1" s="1"/>
  <c r="T99" i="1"/>
  <c r="W99" i="1" s="1"/>
  <c r="T116" i="1"/>
  <c r="W116" i="1" s="1"/>
  <c r="T19" i="1"/>
  <c r="W19" i="1" s="1"/>
  <c r="T158" i="1"/>
  <c r="W158" i="1" s="1"/>
  <c r="T105" i="1"/>
  <c r="W105" i="1" s="1"/>
  <c r="T124" i="1"/>
  <c r="W124" i="1" s="1"/>
  <c r="T42" i="1"/>
  <c r="W42" i="1" s="1"/>
  <c r="T27" i="1"/>
  <c r="W27" i="1" s="1"/>
  <c r="T153" i="1"/>
  <c r="W153" i="1" s="1"/>
  <c r="T12" i="1"/>
  <c r="W12" i="1" s="1"/>
  <c r="T23" i="1"/>
  <c r="W23" i="1" s="1"/>
  <c r="T178" i="1"/>
  <c r="W178" i="1" s="1"/>
  <c r="W149" i="1"/>
  <c r="T152" i="1"/>
  <c r="W152" i="1" s="1"/>
  <c r="W9" i="1"/>
  <c r="W75" i="1"/>
  <c r="W71" i="1"/>
  <c r="W120" i="1"/>
  <c r="W93" i="1"/>
  <c r="W117" i="1"/>
  <c r="W25" i="1"/>
  <c r="T32" i="1"/>
  <c r="W32" i="1" s="1"/>
  <c r="T52" i="1"/>
  <c r="W52" i="1" s="1"/>
  <c r="T175" i="1"/>
  <c r="W175" i="1" s="1"/>
  <c r="T176" i="1"/>
  <c r="W176" i="1" s="1"/>
  <c r="T46" i="1"/>
  <c r="W46" i="1" s="1"/>
  <c r="T47" i="1"/>
  <c r="W47" i="1" s="1"/>
  <c r="T26" i="1"/>
  <c r="W26" i="1" s="1"/>
  <c r="T125" i="1"/>
  <c r="W125" i="1" s="1"/>
  <c r="T142" i="1"/>
  <c r="W142" i="1" s="1"/>
  <c r="T148" i="1"/>
  <c r="T102" i="1"/>
  <c r="W102" i="1" s="1"/>
  <c r="T65" i="1"/>
  <c r="W65" i="1" s="1"/>
  <c r="T67" i="1"/>
  <c r="W67" i="1" s="1"/>
  <c r="T80" i="1"/>
  <c r="W80" i="1" s="1"/>
  <c r="T96" i="1"/>
  <c r="W96" i="1" s="1"/>
  <c r="T118" i="1"/>
  <c r="W118" i="1" s="1"/>
  <c r="T87" i="1"/>
  <c r="W87" i="1" s="1"/>
  <c r="T163" i="1"/>
  <c r="W163" i="1" s="1"/>
  <c r="T20" i="1"/>
  <c r="W20" i="1" s="1"/>
  <c r="T36" i="1"/>
  <c r="W36" i="1" s="1"/>
  <c r="W180" i="1"/>
  <c r="T168" i="1"/>
  <c r="W168" i="1" s="1"/>
  <c r="T8" i="1"/>
  <c r="W8" i="1" s="1"/>
  <c r="T171" i="1"/>
  <c r="W171" i="1" s="1"/>
  <c r="T53" i="1"/>
  <c r="W53" i="1" s="1"/>
  <c r="T33" i="1"/>
  <c r="W33" i="1" s="1"/>
  <c r="T39" i="1"/>
  <c r="W39" i="1" s="1"/>
  <c r="T161" i="1"/>
  <c r="W161" i="1" s="1"/>
  <c r="T18" i="1"/>
  <c r="W18" i="1" s="1"/>
  <c r="T21" i="1"/>
  <c r="W21" i="1" s="1"/>
  <c r="T174" i="1"/>
  <c r="W174" i="1" s="1"/>
  <c r="T51" i="1"/>
  <c r="W51" i="1" s="1"/>
  <c r="T38" i="1"/>
  <c r="W38" i="1" s="1"/>
  <c r="T190" i="1"/>
  <c r="W190" i="1" s="1"/>
  <c r="T45" i="1"/>
  <c r="W45" i="1" s="1"/>
  <c r="T162" i="1"/>
  <c r="W162" i="1" s="1"/>
  <c r="T167" i="1"/>
  <c r="W167" i="1" s="1"/>
  <c r="T159" i="1"/>
  <c r="W159" i="1" s="1"/>
  <c r="T10" i="1"/>
  <c r="W10" i="1" s="1"/>
  <c r="T146" i="1"/>
  <c r="T186" i="1"/>
  <c r="W186" i="1" s="1"/>
  <c r="T15" i="1"/>
  <c r="W15" i="1" s="1"/>
  <c r="T177" i="1"/>
  <c r="W177" i="1" s="1"/>
  <c r="T170" i="1"/>
  <c r="W170" i="1" s="1"/>
  <c r="T145" i="1"/>
  <c r="W145" i="1" s="1"/>
  <c r="T185" i="1"/>
  <c r="W185" i="1" s="1"/>
  <c r="T57" i="1"/>
  <c r="W57" i="1" s="1"/>
  <c r="T29" i="1"/>
  <c r="W29" i="1" s="1"/>
  <c r="T144" i="1"/>
  <c r="W144" i="1" s="1"/>
  <c r="T50" i="1"/>
  <c r="W50" i="1" s="1"/>
  <c r="T3" i="1"/>
  <c r="W3" i="1" s="1"/>
  <c r="T143" i="1"/>
  <c r="W143" i="1" s="1"/>
  <c r="T31" i="1"/>
  <c r="W31" i="1" s="1"/>
  <c r="T123" i="1"/>
  <c r="W123" i="1" s="1"/>
  <c r="T160" i="1"/>
  <c r="W160" i="1" s="1"/>
  <c r="T155" i="1"/>
  <c r="W155" i="1" s="1"/>
  <c r="T154" i="1"/>
  <c r="W154" i="1" s="1"/>
  <c r="T44" i="1"/>
  <c r="W44" i="1" s="1"/>
  <c r="T17" i="1"/>
  <c r="W17" i="1" s="1"/>
  <c r="T182" i="1"/>
  <c r="W182" i="1" s="1"/>
  <c r="T55" i="1"/>
  <c r="W55" i="1" s="1"/>
  <c r="T16" i="1"/>
  <c r="W16" i="1" s="1"/>
  <c r="T5" i="1"/>
  <c r="W5" i="1" s="1"/>
  <c r="T172" i="1"/>
  <c r="W172" i="1" s="1"/>
  <c r="T157" i="1"/>
  <c r="W157" i="1" s="1"/>
  <c r="T141" i="1"/>
  <c r="W141" i="1" s="1"/>
  <c r="T56" i="1"/>
  <c r="W56" i="1" s="1"/>
  <c r="T86" i="1"/>
  <c r="W86" i="1" s="1"/>
  <c r="T61" i="1"/>
  <c r="W61" i="1" s="1"/>
  <c r="T64" i="1"/>
  <c r="W64" i="1" s="1"/>
  <c r="T66" i="1"/>
  <c r="W66" i="1" s="1"/>
  <c r="T72" i="1"/>
  <c r="W72" i="1" s="1"/>
  <c r="T119" i="1"/>
  <c r="W119" i="1" s="1"/>
  <c r="T89" i="1"/>
  <c r="W89" i="1" s="1"/>
  <c r="T24" i="1"/>
  <c r="W24" i="1" s="1"/>
  <c r="T169" i="1"/>
  <c r="W169" i="1" s="1"/>
  <c r="T156" i="1"/>
  <c r="W156" i="1" s="1"/>
  <c r="T166" i="1"/>
  <c r="W166" i="1" s="1"/>
  <c r="T147" i="1"/>
  <c r="T85" i="1"/>
  <c r="W85" i="1" s="1"/>
  <c r="T4" i="1"/>
  <c r="W4" i="1" s="1"/>
  <c r="T14" i="1"/>
  <c r="W14" i="1" s="1"/>
  <c r="T164" i="1"/>
  <c r="W164" i="1" s="1"/>
  <c r="T187" i="1"/>
  <c r="W187" i="1" s="1"/>
  <c r="T82" i="1"/>
  <c r="W82" i="1" s="1"/>
  <c r="T79" i="1"/>
  <c r="W79" i="1" s="1"/>
  <c r="T70" i="1"/>
  <c r="W70" i="1" s="1"/>
  <c r="AP109" i="1"/>
  <c r="F147" i="1" l="1"/>
  <c r="G147" i="1" s="1"/>
  <c r="F146" i="1"/>
  <c r="G146" i="1" s="1"/>
  <c r="G138" i="1"/>
  <c r="G139" i="1"/>
  <c r="G140" i="1"/>
  <c r="G141" i="1"/>
  <c r="G142" i="1"/>
  <c r="G143" i="1"/>
  <c r="G144" i="1"/>
  <c r="G145" i="1"/>
  <c r="F137" i="1"/>
  <c r="F136" i="1"/>
  <c r="F148" i="1"/>
  <c r="G148" i="1" s="1"/>
  <c r="G122" i="1"/>
  <c r="BI179" i="1"/>
  <c r="BF179" i="1"/>
  <c r="AX179" i="1"/>
  <c r="AY179" i="1" s="1"/>
  <c r="AQ179" i="1"/>
  <c r="U179" i="1"/>
  <c r="S179" i="1"/>
  <c r="R179" i="1"/>
  <c r="Q179" i="1"/>
  <c r="G179" i="1"/>
  <c r="W146" i="1" l="1"/>
  <c r="G136" i="1"/>
  <c r="W136" i="1"/>
  <c r="G137" i="1"/>
  <c r="W137" i="1"/>
  <c r="W147" i="1"/>
  <c r="W148" i="1"/>
  <c r="T179" i="1"/>
  <c r="W179" i="1" s="1"/>
  <c r="AT105" i="1" l="1"/>
  <c r="AV105" i="1"/>
  <c r="AP105" i="1"/>
  <c r="AU106" i="1"/>
  <c r="AV106" i="1"/>
  <c r="AP106" i="1"/>
  <c r="AV108" i="1"/>
  <c r="G108" i="1"/>
  <c r="AP108" i="1"/>
  <c r="AU107" i="1"/>
  <c r="AV107" i="1"/>
  <c r="AP107" i="1"/>
  <c r="AV110" i="1"/>
  <c r="AU110" i="1"/>
  <c r="AP110" i="1"/>
  <c r="AU103" i="1"/>
  <c r="AV103" i="1"/>
  <c r="AP103" i="1"/>
  <c r="AP102" i="1"/>
  <c r="AP101" i="1"/>
  <c r="AP98" i="1"/>
  <c r="AP100" i="1"/>
  <c r="AP96" i="1"/>
  <c r="AT97" i="1"/>
  <c r="AU97" i="1"/>
  <c r="AV97" i="1"/>
  <c r="AU95" i="1"/>
  <c r="AV95" i="1"/>
  <c r="AU99" i="1"/>
  <c r="AV99" i="1"/>
  <c r="AP99" i="1"/>
  <c r="AU93" i="1"/>
  <c r="AV93" i="1"/>
  <c r="AP93" i="1"/>
  <c r="AU94" i="1"/>
  <c r="AV94" i="1"/>
  <c r="AP94" i="1"/>
  <c r="AX119" i="1"/>
  <c r="AX96" i="1"/>
  <c r="AX100" i="1"/>
  <c r="AX98" i="1"/>
  <c r="AX120" i="1"/>
  <c r="AX121" i="1"/>
  <c r="AX72" i="1"/>
  <c r="AX80" i="1"/>
  <c r="AX73" i="1"/>
  <c r="AX60" i="1"/>
  <c r="AX62" i="1"/>
  <c r="AW191" i="1"/>
  <c r="AX191" i="1" s="1"/>
  <c r="AX59" i="1"/>
  <c r="AX180" i="1"/>
  <c r="AX66" i="1"/>
  <c r="AX67" i="1"/>
  <c r="AX77" i="1"/>
  <c r="AX69" i="1"/>
  <c r="AX71" i="1"/>
  <c r="AX68" i="1"/>
  <c r="AX70" i="1"/>
  <c r="AX63" i="1"/>
  <c r="AX64" i="1"/>
  <c r="AX65" i="1"/>
  <c r="AX101" i="1"/>
  <c r="AX74" i="1"/>
  <c r="AX75" i="1"/>
  <c r="AX78" i="1"/>
  <c r="AX79" i="1"/>
  <c r="AX76" i="1"/>
  <c r="AX61" i="1"/>
  <c r="AX102" i="1"/>
  <c r="AX58" i="1"/>
  <c r="AX57" i="1"/>
  <c r="AW189" i="1"/>
  <c r="AX189" i="1" s="1"/>
  <c r="AX82" i="1"/>
  <c r="AW181" i="1"/>
  <c r="AX181" i="1" s="1"/>
  <c r="AX86" i="1"/>
  <c r="AW182" i="1"/>
  <c r="AX182" i="1" s="1"/>
  <c r="AW183" i="1"/>
  <c r="AX183" i="1" s="1"/>
  <c r="AW184" i="1"/>
  <c r="AX184" i="1" s="1"/>
  <c r="AW185" i="1"/>
  <c r="AX185" i="1" s="1"/>
  <c r="AW186" i="1"/>
  <c r="AX186" i="1" s="1"/>
  <c r="AW187" i="1"/>
  <c r="AX187" i="1" s="1"/>
  <c r="AX85" i="1"/>
  <c r="AX56" i="1"/>
  <c r="AW188" i="1"/>
  <c r="AX188" i="1" s="1"/>
  <c r="AX123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124" i="1"/>
  <c r="AX125" i="1"/>
  <c r="AX109" i="1"/>
  <c r="AX111" i="1"/>
  <c r="AW154" i="1"/>
  <c r="AX154" i="1" s="1"/>
  <c r="AW104" i="1"/>
  <c r="AX104" i="1" s="1"/>
  <c r="AW165" i="1"/>
  <c r="AX165" i="1" s="1"/>
  <c r="AW149" i="1"/>
  <c r="AX149" i="1" s="1"/>
  <c r="AW173" i="1"/>
  <c r="AX173" i="1" s="1"/>
  <c r="AW150" i="1"/>
  <c r="AX150" i="1" s="1"/>
  <c r="AW151" i="1"/>
  <c r="AX151" i="1" s="1"/>
  <c r="AW158" i="1"/>
  <c r="AX158" i="1" s="1"/>
  <c r="AW155" i="1"/>
  <c r="AX155" i="1" s="1"/>
  <c r="AW159" i="1"/>
  <c r="AX159" i="1" s="1"/>
  <c r="AW190" i="1"/>
  <c r="AX190" i="1" s="1"/>
  <c r="AW174" i="1"/>
  <c r="AX174" i="1" s="1"/>
  <c r="AW176" i="1"/>
  <c r="AX176" i="1" s="1"/>
  <c r="AW175" i="1"/>
  <c r="AX175" i="1" s="1"/>
  <c r="AW166" i="1"/>
  <c r="AX166" i="1" s="1"/>
  <c r="AW152" i="1"/>
  <c r="AX152" i="1" s="1"/>
  <c r="AW160" i="1"/>
  <c r="AX160" i="1" s="1"/>
  <c r="AW167" i="1"/>
  <c r="AX167" i="1" s="1"/>
  <c r="AW168" i="1"/>
  <c r="AX168" i="1" s="1"/>
  <c r="AW170" i="1"/>
  <c r="AX170" i="1" s="1"/>
  <c r="AW153" i="1"/>
  <c r="AX153" i="1" s="1"/>
  <c r="AW171" i="1"/>
  <c r="AX171" i="1" s="1"/>
  <c r="AW156" i="1"/>
  <c r="AX156" i="1" s="1"/>
  <c r="AW157" i="1"/>
  <c r="AX157" i="1" s="1"/>
  <c r="AW161" i="1"/>
  <c r="AX161" i="1" s="1"/>
  <c r="AX162" i="1"/>
  <c r="AW163" i="1"/>
  <c r="AX163" i="1" s="1"/>
  <c r="AX115" i="1"/>
  <c r="AX117" i="1"/>
  <c r="AX116" i="1"/>
  <c r="AX91" i="1"/>
  <c r="AX88" i="1"/>
  <c r="AX89" i="1"/>
  <c r="AX118" i="1"/>
  <c r="AX87" i="1"/>
  <c r="AW110" i="1" l="1"/>
  <c r="AX110" i="1" s="1"/>
  <c r="AW107" i="1"/>
  <c r="AX107" i="1" s="1"/>
  <c r="AW105" i="1"/>
  <c r="AX105" i="1" s="1"/>
  <c r="AW106" i="1"/>
  <c r="AX106" i="1" s="1"/>
  <c r="AW97" i="1"/>
  <c r="AX97" i="1" s="1"/>
  <c r="AW103" i="1"/>
  <c r="AX103" i="1" s="1"/>
  <c r="AW108" i="1"/>
  <c r="AX108" i="1" s="1"/>
  <c r="AW93" i="1"/>
  <c r="AX93" i="1" s="1"/>
  <c r="AW99" i="1"/>
  <c r="AX99" i="1" s="1"/>
  <c r="AW94" i="1"/>
  <c r="AX94" i="1" s="1"/>
  <c r="AW95" i="1"/>
  <c r="AX95" i="1" s="1"/>
  <c r="AV90" i="1" l="1"/>
  <c r="AU90" i="1"/>
  <c r="AP90" i="1"/>
  <c r="G90" i="1"/>
  <c r="G115" i="1"/>
  <c r="G117" i="1"/>
  <c r="G116" i="1"/>
  <c r="G91" i="1"/>
  <c r="G88" i="1"/>
  <c r="G89" i="1"/>
  <c r="G118" i="1"/>
  <c r="G92" i="1"/>
  <c r="G94" i="1"/>
  <c r="G93" i="1"/>
  <c r="G99" i="1"/>
  <c r="G95" i="1"/>
  <c r="G97" i="1"/>
  <c r="G119" i="1"/>
  <c r="G96" i="1"/>
  <c r="G100" i="1"/>
  <c r="G98" i="1"/>
  <c r="G120" i="1"/>
  <c r="C4" i="7"/>
  <c r="G121" i="1"/>
  <c r="G72" i="1"/>
  <c r="G80" i="1"/>
  <c r="G73" i="1"/>
  <c r="G60" i="1"/>
  <c r="G62" i="1"/>
  <c r="G191" i="1"/>
  <c r="G59" i="1"/>
  <c r="G180" i="1"/>
  <c r="G66" i="1"/>
  <c r="G67" i="1"/>
  <c r="G77" i="1"/>
  <c r="G69" i="1"/>
  <c r="G71" i="1"/>
  <c r="G68" i="1"/>
  <c r="G70" i="1"/>
  <c r="G63" i="1"/>
  <c r="G64" i="1"/>
  <c r="G65" i="1"/>
  <c r="G101" i="1"/>
  <c r="G74" i="1"/>
  <c r="G75" i="1"/>
  <c r="G78" i="1"/>
  <c r="G79" i="1"/>
  <c r="G76" i="1"/>
  <c r="G61" i="1"/>
  <c r="G102" i="1"/>
  <c r="G103" i="1"/>
  <c r="G58" i="1"/>
  <c r="G57" i="1"/>
  <c r="G189" i="1"/>
  <c r="G82" i="1"/>
  <c r="G181" i="1"/>
  <c r="G86" i="1"/>
  <c r="G182" i="1"/>
  <c r="G183" i="1"/>
  <c r="G184" i="1"/>
  <c r="G185" i="1"/>
  <c r="G186" i="1"/>
  <c r="G187" i="1"/>
  <c r="G85" i="1"/>
  <c r="G56" i="1"/>
  <c r="G188" i="1"/>
  <c r="G123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124" i="1"/>
  <c r="G125" i="1"/>
  <c r="G109" i="1"/>
  <c r="G110" i="1"/>
  <c r="G107" i="1"/>
  <c r="G111" i="1"/>
  <c r="G106" i="1"/>
  <c r="G105" i="1"/>
  <c r="G154" i="1"/>
  <c r="G104" i="1"/>
  <c r="G165" i="1"/>
  <c r="G149" i="1"/>
  <c r="G173" i="1"/>
  <c r="G150" i="1"/>
  <c r="G151" i="1"/>
  <c r="G158" i="1"/>
  <c r="G155" i="1"/>
  <c r="G159" i="1"/>
  <c r="G190" i="1"/>
  <c r="G174" i="1"/>
  <c r="G176" i="1"/>
  <c r="G175" i="1"/>
  <c r="G166" i="1"/>
  <c r="G152" i="1"/>
  <c r="G160" i="1"/>
  <c r="G167" i="1"/>
  <c r="G168" i="1"/>
  <c r="G170" i="1"/>
  <c r="G153" i="1"/>
  <c r="G171" i="1"/>
  <c r="G156" i="1"/>
  <c r="G157" i="1"/>
  <c r="G161" i="1"/>
  <c r="G87" i="1"/>
  <c r="AP92" i="1"/>
  <c r="AV92" i="1"/>
  <c r="AU92" i="1"/>
  <c r="AT92" i="1"/>
  <c r="C7" i="7" l="1"/>
  <c r="C18" i="7"/>
  <c r="C11" i="7"/>
  <c r="C22" i="7"/>
  <c r="C8" i="7"/>
  <c r="C10" i="7"/>
  <c r="C13" i="7"/>
  <c r="C9" i="7"/>
  <c r="C24" i="7"/>
  <c r="AW92" i="1"/>
  <c r="AX92" i="1" s="1"/>
  <c r="AW90" i="1"/>
  <c r="AX90" i="1" s="1"/>
  <c r="G162" i="1"/>
  <c r="G163" i="1"/>
  <c r="C6" i="7" s="1"/>
  <c r="C25" i="7" l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I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<sst xmlns="http://schemas.openxmlformats.org/spreadsheetml/2006/main" count="10974" uniqueCount="5638">
  <si>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</si>
  <si>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</si>
  <si>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</si>
  <si>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</si>
  <si>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</si>
  <si>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</si>
  <si>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</si>
  <si>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</si>
  <si>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</si>
  <si>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</si>
  <si>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</si>
  <si>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</si>
  <si>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</si>
  <si>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</si>
  <si>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</si>
  <si>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</si>
  <si>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</si>
  <si>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</si>
  <si>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</si>
  <si>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</si>
  <si>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</si>
  <si>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</si>
  <si>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</si>
  <si>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</si>
  <si>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</si>
  <si>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</si>
  <si>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</si>
  <si>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</si>
  <si>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</si>
  <si>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</si>
  <si>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</si>
  <si>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</si>
  <si>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</si>
  <si>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</si>
  <si>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</si>
  <si>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</si>
  <si>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</si>
  <si>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</si>
  <si>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</si>
  <si>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</si>
  <si>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</si>
  <si>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</si>
  <si>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</si>
  <si>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</si>
  <si>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</si>
  <si>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</si>
  <si>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</si>
  <si>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</si>
  <si>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</si>
  <si>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</si>
  <si>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</si>
  <si>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</si>
  <si>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</si>
  <si>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</si>
  <si>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</si>
  <si>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</si>
  <si>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</si>
  <si>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</si>
  <si>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</si>
  <si>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</si>
  <si>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</si>
  <si>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</si>
  <si>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</si>
  <si>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</si>
  <si>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</si>
  <si>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</si>
  <si>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</si>
  <si>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</si>
  <si>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</si>
  <si>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</si>
  <si>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</si>
  <si>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</si>
  <si>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</si>
  <si>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</si>
  <si>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</si>
  <si>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</si>
  <si>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</si>
  <si>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</si>
  <si>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</si>
  <si>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</si>
  <si>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</si>
  <si>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</si>
  <si>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</si>
  <si>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</si>
  <si>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</si>
  <si>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</si>
  <si>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</si>
  <si>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</si>
  <si>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</si>
  <si>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</si>
  <si>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</si>
  <si>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</si>
  <si>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</si>
  <si>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</si>
  <si>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</si>
  <si>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</si>
  <si>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</si>
  <si>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</si>
  <si>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</si>
  <si>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</si>
  <si>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</si>
  <si>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</si>
  <si>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</si>
  <si>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</si>
  <si>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</si>
  <si>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</si>
  <si>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</si>
  <si>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</si>
  <si>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</si>
  <si>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</si>
  <si>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</si>
  <si>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</si>
  <si>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</si>
  <si>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</si>
  <si>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</si>
  <si>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</si>
  <si>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</si>
  <si>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</si>
  <si>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</si>
  <si>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</si>
  <si>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</si>
  <si>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</si>
  <si>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</si>
  <si>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</si>
  <si>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</si>
  <si>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</si>
  <si>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</si>
  <si>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</si>
  <si>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</si>
  <si>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</si>
  <si>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</si>
  <si>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</si>
  <si>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</si>
  <si>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</si>
  <si>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</si>
  <si>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</si>
  <si>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</si>
  <si>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</si>
  <si>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</si>
  <si>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</si>
  <si>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</si>
  <si>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</si>
  <si>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</si>
  <si>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</si>
  <si>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</si>
  <si>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</si>
  <si>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</si>
  <si>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</si>
  <si>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</si>
  <si>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</si>
  <si>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</si>
  <si>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</si>
  <si>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</si>
  <si>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</si>
  <si>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</si>
  <si>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</si>
  <si>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</si>
  <si>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</si>
  <si>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</si>
  <si>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</si>
  <si>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</si>
  <si>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</si>
  <si>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</si>
  <si>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</si>
  <si>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</si>
  <si>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</si>
  <si>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</si>
  <si>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</si>
  <si>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</si>
  <si>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</si>
  <si>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</si>
  <si>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</si>
  <si>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</si>
  <si>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</si>
  <si>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</si>
  <si>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</si>
  <si>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</si>
  <si>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</si>
  <si>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</si>
  <si>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</si>
  <si>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</si>
  <si>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</si>
  <si>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</si>
  <si>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</si>
  <si>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</si>
  <si>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</si>
  <si>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</si>
  <si>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</si>
  <si>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</si>
  <si>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</si>
  <si>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</si>
  <si>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</si>
  <si>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</si>
  <si>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</si>
  <si>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</si>
  <si>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</si>
  <si>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</si>
  <si>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</si>
  <si>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</si>
  <si>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</si>
  <si>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</si>
  <si>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</si>
  <si>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</si>
  <si>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</si>
  <si>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</si>
  <si>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</si>
  <si>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</si>
  <si>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</si>
  <si>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</si>
  <si>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</si>
  <si>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</si>
  <si>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</si>
  <si>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</si>
  <si>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</si>
  <si>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</si>
  <si>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</si>
  <si>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</si>
  <si>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</si>
  <si>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</si>
  <si>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</si>
  <si>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</si>
  <si>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</si>
  <si>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</si>
  <si>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</si>
  <si>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</si>
  <si>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</si>
  <si>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</si>
  <si>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</si>
  <si>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</si>
  <si>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</si>
  <si>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</si>
  <si>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</si>
  <si>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</si>
  <si>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</si>
  <si>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</si>
  <si>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</si>
  <si>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</si>
  <si>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</si>
  <si>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</si>
  <si>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</si>
  <si>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</si>
  <si>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</si>
  <si>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</si>
  <si>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</si>
  <si>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</si>
  <si>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</si>
  <si>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</si>
  <si>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</si>
  <si>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</si>
  <si>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</si>
  <si>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</si>
  <si>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</si>
  <si>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</si>
  <si>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</si>
  <si>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</si>
  <si>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</si>
  <si>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</si>
  <si>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</si>
  <si>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</si>
  <si>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</si>
  <si>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</si>
  <si>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</si>
  <si>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</si>
  <si>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</si>
  <si>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</si>
  <si>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</si>
  <si>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</si>
  <si>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</si>
  <si>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</si>
  <si>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</si>
  <si>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</si>
  <si>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</si>
  <si>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</si>
  <si>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</si>
  <si>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</si>
  <si>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</si>
  <si>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</si>
  <si>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</si>
  <si>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</si>
  <si>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</si>
  <si>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</si>
  <si>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</si>
  <si>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</si>
  <si>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</si>
  <si>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</si>
  <si>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</si>
  <si>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</si>
  <si>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</si>
  <si>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</si>
  <si>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</si>
  <si>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</si>
  <si>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</si>
  <si>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</si>
  <si>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</si>
  <si>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</si>
  <si>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</si>
  <si>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</si>
  <si>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</si>
  <si>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</si>
  <si>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</si>
  <si>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</si>
  <si>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</si>
  <si>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</si>
  <si>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</si>
  <si>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</si>
  <si>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</si>
  <si>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</si>
  <si>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</si>
  <si>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</si>
  <si>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</si>
  <si>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</si>
  <si>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</si>
  <si>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</si>
  <si>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</si>
  <si>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</si>
  <si>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</si>
  <si>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</si>
  <si>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</si>
  <si>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</si>
  <si>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</si>
  <si>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</si>
  <si>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</si>
  <si>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</si>
  <si>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</si>
  <si>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</si>
  <si>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</si>
  <si>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</si>
  <si>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</si>
  <si>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</si>
  <si>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</si>
  <si>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</si>
  <si>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</si>
  <si>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</si>
  <si>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</si>
  <si>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</si>
  <si>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</si>
  <si>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</si>
  <si>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</si>
  <si>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</si>
  <si>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</si>
  <si>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</si>
  <si>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</si>
  <si>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</si>
  <si>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</si>
  <si>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</si>
  <si>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</si>
  <si>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</si>
  <si>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</si>
  <si>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</si>
  <si>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</si>
  <si>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</si>
  <si>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</si>
  <si>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</si>
  <si>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</si>
  <si>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</si>
  <si>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</si>
  <si>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</si>
  <si>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</si>
  <si>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</si>
  <si>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</si>
  <si>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</si>
  <si>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</si>
  <si>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</si>
  <si>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</si>
  <si>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</si>
  <si>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</si>
  <si>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</si>
  <si>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</si>
  <si>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</si>
  <si>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</si>
  <si>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</si>
  <si>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</si>
  <si>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</si>
  <si>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</si>
  <si>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</si>
  <si>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</si>
  <si>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</si>
  <si>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</si>
  <si>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</si>
  <si>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</si>
  <si>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</si>
  <si>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</si>
  <si>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</si>
  <si>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</si>
  <si>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</si>
  <si>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</si>
  <si>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</si>
  <si>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</si>
  <si>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</si>
  <si>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</si>
  <si>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</si>
  <si>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</si>
  <si>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</si>
  <si>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</si>
  <si>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</si>
  <si>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</si>
  <si>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</si>
  <si>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</si>
  <si>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</si>
  <si>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</si>
  <si>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</si>
  <si>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</si>
  <si>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</si>
  <si>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</si>
  <si>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</si>
  <si>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</si>
  <si>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</si>
  <si>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</si>
  <si>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</si>
  <si>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</si>
  <si>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</si>
  <si>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</si>
  <si>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</si>
  <si>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</si>
  <si>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</si>
  <si>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</si>
  <si>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</si>
  <si>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</si>
  <si>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</si>
  <si>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</si>
  <si>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</si>
  <si>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</si>
  <si>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</si>
  <si>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</si>
  <si>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</si>
  <si>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</si>
  <si>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</si>
  <si>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</si>
  <si>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</si>
  <si>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</si>
  <si>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</si>
  <si>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</si>
  <si>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</si>
  <si>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</si>
  <si>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</si>
  <si>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</si>
  <si>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</si>
  <si>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</si>
  <si>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</si>
  <si>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</si>
  <si>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</si>
  <si>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</si>
  <si>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</si>
  <si>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</si>
  <si>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</si>
  <si>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</si>
  <si>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</si>
  <si>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</si>
  <si>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</si>
  <si>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</si>
  <si>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</si>
  <si>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</si>
  <si>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</si>
  <si>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</si>
  <si>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</si>
  <si>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</si>
  <si>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</si>
  <si>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</si>
  <si>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</si>
  <si>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</si>
  <si>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</si>
  <si>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</si>
  <si>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</si>
  <si>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</si>
  <si>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</si>
  <si>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</si>
  <si>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</si>
  <si>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</si>
  <si>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</si>
  <si>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</si>
  <si>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</si>
  <si>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</si>
  <si>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</si>
  <si>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</si>
  <si>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</si>
  <si>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</si>
  <si>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</si>
  <si>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</si>
  <si>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</si>
  <si>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</si>
  <si>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</si>
  <si>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</si>
  <si>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</si>
  <si>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</si>
  <si>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</si>
  <si>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</si>
  <si>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</si>
  <si>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</si>
  <si>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</si>
  <si>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</si>
  <si>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</si>
  <si>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</si>
  <si>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</si>
  <si>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</si>
  <si>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</si>
  <si>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</si>
  <si>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</si>
  <si>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</si>
  <si>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</si>
  <si>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</si>
  <si>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</si>
  <si>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</si>
  <si>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</si>
  <si>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</si>
  <si>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</si>
  <si>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</si>
  <si>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</si>
  <si>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</si>
  <si>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</si>
  <si>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</si>
  <si>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</si>
  <si>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</si>
  <si>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</si>
  <si>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</si>
  <si>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</si>
  <si>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</si>
  <si>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</si>
  <si>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</si>
  <si>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</si>
  <si>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</si>
  <si>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</si>
  <si>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</si>
  <si>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</si>
  <si>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</si>
  <si>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</si>
  <si>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</si>
  <si>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</si>
  <si>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</si>
  <si>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</si>
  <si>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</si>
  <si>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</si>
  <si>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</si>
  <si>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</si>
  <si>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</si>
  <si>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</si>
  <si>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</si>
  <si>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</si>
  <si>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</si>
  <si>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</si>
  <si>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</si>
  <si>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</si>
  <si>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</si>
  <si>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</si>
  <si>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</si>
  <si>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</si>
  <si>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</si>
  <si>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</si>
  <si>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</si>
  <si>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</si>
  <si>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</si>
  <si>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</si>
  <si>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</si>
  <si>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</si>
  <si>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</si>
  <si>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</si>
  <si>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</si>
  <si>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</si>
  <si>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</si>
  <si>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</si>
  <si>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</si>
  <si>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</si>
  <si>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</si>
  <si>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</si>
  <si>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</si>
  <si>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</si>
  <si>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</si>
  <si>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</si>
  <si>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</si>
  <si>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</si>
  <si>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</si>
  <si>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</si>
  <si>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</si>
  <si>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</si>
  <si>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</si>
  <si>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</si>
  <si>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</si>
  <si>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</si>
  <si>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</si>
  <si>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</si>
  <si>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</si>
  <si>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</si>
  <si>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</si>
  <si>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</si>
  <si>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</si>
  <si>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</si>
  <si>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</si>
  <si>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</si>
  <si>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</si>
  <si>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</si>
  <si>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</si>
  <si>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</si>
  <si>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</si>
  <si>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</si>
  <si>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</si>
  <si>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</si>
  <si>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</si>
  <si>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</si>
  <si>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</si>
  <si>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</si>
  <si>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</si>
  <si>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</si>
  <si>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</si>
  <si>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</si>
  <si>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</si>
  <si>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</si>
  <si>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</si>
  <si>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</si>
  <si>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</si>
  <si>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</si>
  <si>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</si>
  <si>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</si>
  <si>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</si>
  <si>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</si>
  <si>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</si>
  <si>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</si>
  <si>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</si>
  <si>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</si>
  <si>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</si>
  <si>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</si>
  <si>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</si>
  <si>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</si>
  <si>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</si>
  <si>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</si>
  <si>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</si>
  <si>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</si>
  <si>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</si>
  <si>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</si>
  <si>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</si>
  <si>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</si>
  <si>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</si>
  <si>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</si>
  <si>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</si>
  <si>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</si>
  <si>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</si>
  <si>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</si>
  <si>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</si>
  <si>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</si>
  <si>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</si>
  <si>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</si>
  <si>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</si>
  <si>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</si>
  <si>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</si>
  <si>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</si>
  <si>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</si>
  <si>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</si>
  <si>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</si>
  <si>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</si>
  <si>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</si>
  <si>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</si>
  <si>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</si>
  <si>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</si>
  <si>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</si>
  <si>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</si>
  <si>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</si>
  <si>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</si>
  <si>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</si>
  <si>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</si>
  <si>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</si>
  <si>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</si>
  <si>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</si>
  <si>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</si>
  <si>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</si>
  <si>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</si>
  <si>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</si>
  <si>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</si>
  <si>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</si>
  <si>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</si>
  <si>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</si>
  <si>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</si>
  <si>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</si>
  <si>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</si>
  <si>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</si>
  <si>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</si>
  <si>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</si>
  <si>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</si>
  <si>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</si>
  <si>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</si>
  <si>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</si>
  <si>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</si>
  <si>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</si>
  <si>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</si>
  <si>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</si>
  <si>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</si>
  <si>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</si>
  <si>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</si>
  <si>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</si>
  <si>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</si>
  <si>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</si>
  <si>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</si>
  <si>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</si>
  <si>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</si>
  <si>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</si>
  <si>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</si>
  <si>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</si>
  <si>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</si>
  <si>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</si>
  <si>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</si>
  <si>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</si>
  <si>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</si>
  <si>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</si>
  <si>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</si>
  <si>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</si>
  <si>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</si>
  <si>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</si>
  <si>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</si>
  <si>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</si>
  <si>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</si>
  <si>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</si>
  <si>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</si>
  <si>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</si>
  <si>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</si>
  <si>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</si>
  <si>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</si>
  <si>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</si>
  <si>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</si>
  <si>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</si>
  <si>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</si>
  <si>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</si>
  <si>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</si>
  <si>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</si>
  <si>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</si>
  <si>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</si>
  <si>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</si>
  <si>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</si>
  <si>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</si>
  <si>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</si>
  <si>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</si>
  <si>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</si>
  <si>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</si>
  <si>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</si>
  <si>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</si>
  <si>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</si>
  <si>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</si>
  <si>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</si>
  <si>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</si>
  <si>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</si>
  <si>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</si>
  <si>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</si>
  <si>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</si>
  <si>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</si>
  <si>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</si>
  <si>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</si>
  <si>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</si>
  <si>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</si>
  <si>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</si>
  <si>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</si>
  <si>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</si>
  <si>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</si>
  <si>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</si>
  <si>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</si>
  <si>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</si>
  <si>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</si>
  <si>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</si>
  <si>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</si>
  <si>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</si>
  <si>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</si>
  <si>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</si>
  <si>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</si>
  <si>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</si>
  <si>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</si>
  <si>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</si>
  <si>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</si>
  <si>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</si>
  <si>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</si>
  <si>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</si>
  <si>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</si>
  <si>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</si>
  <si>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</si>
  <si>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</si>
  <si>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</si>
  <si>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</si>
  <si>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</si>
  <si>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</si>
  <si>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</si>
  <si>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</si>
  <si>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</si>
  <si>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</si>
  <si>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</si>
  <si>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</si>
  <si>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</si>
  <si>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</si>
  <si>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</si>
  <si>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</si>
  <si>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</si>
  <si>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</si>
  <si>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</si>
  <si>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</si>
  <si>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</si>
  <si>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</si>
  <si>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</si>
  <si>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</si>
  <si>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</si>
  <si>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</si>
  <si>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</si>
  <si>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</si>
  <si>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</si>
  <si>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</si>
  <si>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</si>
  <si>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</si>
  <si>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</si>
  <si>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</si>
  <si>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</si>
  <si>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</si>
  <si>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</si>
  <si>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</si>
  <si>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</si>
  <si>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</si>
  <si>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</si>
  <si>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</si>
  <si>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</si>
  <si>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</si>
  <si>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</si>
  <si>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</si>
  <si>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</si>
  <si>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</si>
  <si>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</si>
  <si>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</si>
  <si>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</si>
  <si>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</si>
  <si>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</si>
  <si>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</si>
  <si>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</si>
  <si>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</si>
  <si>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</si>
  <si>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</si>
  <si>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</si>
  <si>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</si>
  <si>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</si>
  <si>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</si>
  <si>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</si>
  <si>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</si>
  <si>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</si>
  <si>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</si>
  <si>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</si>
  <si>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</si>
  <si>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</si>
  <si>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</si>
  <si>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</si>
  <si>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</si>
  <si>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</si>
  <si>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</si>
  <si>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</si>
  <si>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</si>
  <si>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</si>
  <si>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</si>
  <si>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</si>
  <si>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</si>
  <si>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</si>
  <si>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</si>
  <si>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</si>
  <si>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</si>
  <si>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</si>
  <si>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</si>
  <si>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</si>
  <si>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</si>
  <si>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</si>
  <si>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</si>
  <si>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</si>
  <si>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</si>
  <si>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</si>
  <si>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</si>
  <si>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</si>
  <si>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</si>
  <si>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</si>
  <si>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</si>
  <si>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</si>
  <si>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</si>
  <si>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</si>
  <si>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</si>
  <si>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</si>
  <si>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</si>
  <si>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</si>
  <si>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</si>
  <si>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</si>
  <si>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</si>
  <si>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</si>
  <si>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</si>
  <si>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</si>
  <si>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</si>
  <si>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</si>
  <si>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</si>
  <si>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</si>
  <si>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</si>
  <si>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</si>
  <si>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</si>
  <si>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</si>
  <si>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</si>
  <si>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</si>
  <si>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</si>
  <si>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</si>
  <si>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</si>
  <si>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</si>
  <si>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</si>
  <si>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</si>
  <si>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</si>
  <si>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</si>
  <si>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</si>
  <si>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</si>
  <si>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</si>
  <si>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</si>
  <si>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</si>
  <si>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</si>
  <si>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</si>
  <si>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</si>
  <si>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</si>
  <si>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</si>
  <si>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</si>
  <si>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</si>
  <si>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</si>
  <si>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</si>
  <si>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</si>
  <si>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</si>
  <si>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</si>
  <si>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</si>
  <si>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</si>
  <si>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</si>
  <si>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</si>
  <si>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</si>
  <si>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</si>
  <si>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</si>
  <si>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</si>
  <si>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</si>
  <si>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</si>
  <si>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</si>
  <si>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</si>
  <si>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</si>
  <si>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</si>
  <si>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</si>
  <si>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</si>
  <si>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</si>
  <si>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</si>
  <si>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</si>
  <si>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</si>
  <si>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</si>
  <si>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</si>
  <si>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</si>
  <si>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</si>
  <si>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</si>
  <si>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</si>
  <si>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</si>
  <si>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</si>
  <si>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</si>
  <si>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</si>
  <si>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</si>
  <si>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</si>
  <si>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</si>
  <si>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</si>
  <si>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</si>
  <si>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</si>
  <si>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</si>
  <si>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</si>
  <si>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</si>
  <si>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</si>
  <si>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</si>
  <si>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</si>
  <si>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</si>
  <si>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</si>
  <si>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</si>
  <si>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</si>
  <si>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</si>
  <si>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</si>
  <si>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</si>
  <si>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</si>
  <si>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</si>
  <si>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</si>
  <si>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</si>
  <si>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</si>
  <si>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</si>
  <si>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</si>
  <si>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</si>
  <si>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</si>
  <si>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</si>
  <si>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</si>
  <si>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</si>
  <si>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</si>
  <si>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</si>
  <si>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</si>
  <si>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</si>
  <si>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</si>
  <si>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</si>
  <si>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</si>
  <si>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</si>
  <si>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</si>
  <si>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</si>
  <si>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</si>
  <si>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</si>
  <si>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</si>
  <si>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</si>
  <si>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</si>
  <si>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</si>
  <si>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</si>
  <si>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</si>
  <si>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</si>
  <si>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</si>
  <si>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</si>
  <si>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</si>
  <si>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</si>
  <si>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</si>
  <si>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</si>
  <si>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</si>
  <si>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</si>
  <si>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</si>
  <si>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</si>
  <si>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</si>
  <si>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</si>
  <si>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</si>
  <si>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</si>
  <si>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</si>
  <si>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</si>
  <si>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</si>
  <si>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</si>
  <si>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</si>
  <si>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</si>
  <si>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</si>
  <si>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</si>
  <si>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</si>
  <si>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</si>
  <si>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</si>
  <si>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</si>
  <si>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</si>
  <si>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</si>
  <si>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</si>
  <si>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</si>
  <si>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</si>
  <si>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</si>
  <si>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</si>
  <si>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</si>
  <si>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</si>
  <si>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</si>
  <si>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</si>
  <si>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</si>
  <si>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</si>
  <si>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</si>
  <si>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</si>
  <si>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</si>
  <si>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</si>
  <si>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</si>
  <si>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</si>
  <si>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</si>
  <si>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</si>
  <si>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</si>
  <si>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</si>
  <si>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</si>
  <si>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</si>
  <si>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</si>
  <si>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</si>
  <si>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</si>
  <si>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</si>
  <si>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</si>
  <si>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</si>
  <si>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</si>
  <si>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</si>
  <si>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</si>
  <si>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</si>
  <si>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</si>
  <si>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</si>
  <si>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</si>
  <si>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</si>
  <si>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</si>
  <si>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</si>
  <si>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</si>
  <si>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</si>
  <si>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</si>
  <si>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</si>
  <si>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</si>
  <si>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</si>
  <si>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</si>
  <si>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</si>
  <si>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</si>
  <si>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</si>
  <si>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</si>
  <si>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</si>
  <si>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</si>
  <si>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</si>
  <si>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</si>
  <si>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</si>
  <si>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</si>
  <si>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</si>
  <si>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</si>
  <si>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</si>
  <si>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</si>
  <si>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</si>
  <si>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</si>
  <si>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</si>
  <si>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</si>
  <si>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</si>
  <si>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</si>
  <si>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</si>
  <si>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</si>
  <si>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</si>
  <si>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</si>
  <si>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</si>
  <si>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</si>
  <si>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</si>
  <si>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</si>
  <si>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</si>
  <si>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</si>
  <si>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</si>
  <si>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</si>
  <si>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</si>
  <si>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</si>
  <si>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</si>
  <si>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</si>
  <si>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</si>
  <si>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</si>
  <si>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</si>
  <si>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</si>
  <si>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</si>
  <si>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</si>
  <si>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</si>
  <si>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</si>
  <si>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</si>
  <si>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</si>
  <si>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</si>
  <si>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</si>
  <si>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</si>
  <si>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</si>
  <si>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</si>
  <si>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</si>
  <si>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</si>
  <si>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</si>
  <si>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</si>
  <si>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</si>
  <si>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</si>
  <si>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</si>
  <si>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</si>
  <si>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</si>
  <si>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</si>
  <si>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</si>
  <si>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</si>
  <si>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</si>
  <si>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</si>
  <si>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</si>
  <si>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</si>
  <si>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</si>
  <si>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</si>
  <si>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</si>
  <si>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</si>
  <si>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</si>
  <si>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</si>
  <si>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</si>
  <si>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</si>
  <si>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</si>
  <si>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</si>
  <si>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</si>
  <si>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</si>
  <si>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</si>
  <si>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</si>
  <si>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</si>
  <si>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</si>
  <si>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</si>
  <si>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</si>
  <si>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</si>
  <si>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</si>
  <si>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</si>
  <si>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</si>
  <si>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</si>
  <si>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</si>
  <si>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</si>
  <si>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</si>
  <si>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</si>
  <si>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</si>
  <si>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</si>
  <si>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</si>
  <si>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</si>
  <si>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</si>
  <si>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</si>
  <si>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</si>
  <si>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</si>
  <si>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</si>
  <si>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</si>
  <si>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</si>
  <si>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</si>
  <si>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</si>
  <si>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</si>
  <si>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</si>
  <si>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</si>
  <si>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</si>
  <si>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</si>
  <si>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</si>
  <si>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</si>
  <si>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</si>
  <si>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</si>
  <si>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</si>
  <si>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</si>
  <si>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</si>
  <si>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</si>
  <si>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</si>
  <si>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</si>
  <si>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</si>
  <si>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</si>
  <si>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</si>
  <si>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</si>
  <si>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</si>
  <si>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</si>
  <si>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</si>
  <si>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</si>
  <si>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</si>
  <si>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</si>
  <si>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</si>
  <si>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</si>
  <si>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</si>
  <si>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</si>
  <si>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</si>
  <si>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</si>
  <si>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</si>
  <si>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</si>
  <si>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</si>
  <si>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</si>
  <si>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</si>
  <si>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</si>
  <si>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</si>
  <si>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</si>
  <si>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</si>
  <si>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</si>
  <si>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</si>
  <si>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</si>
  <si>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</si>
  <si>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</si>
  <si>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</si>
  <si>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</si>
  <si>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</si>
  <si>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</si>
  <si>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</si>
  <si>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</si>
  <si>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</si>
  <si>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</si>
  <si>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</si>
  <si>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</si>
  <si>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</si>
  <si>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</si>
  <si>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</si>
  <si>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</si>
  <si>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</si>
  <si>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</si>
  <si>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</si>
  <si>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</si>
  <si>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</si>
  <si>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</si>
  <si>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</si>
  <si>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</si>
  <si>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</si>
  <si>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</si>
  <si>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</si>
  <si>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</si>
  <si>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</si>
  <si>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</si>
  <si>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</si>
  <si>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</si>
  <si>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</si>
  <si>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</si>
  <si>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</si>
  <si>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</si>
  <si>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</si>
  <si>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</si>
  <si>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</si>
  <si>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</si>
  <si>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</si>
  <si>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</si>
  <si>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</si>
  <si>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</si>
  <si>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</si>
  <si>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</si>
  <si>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</si>
  <si>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</si>
  <si>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</si>
  <si>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</si>
  <si>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</si>
  <si>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</si>
  <si>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</si>
  <si>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</si>
  <si>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</si>
  <si>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</si>
  <si>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</si>
  <si>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</si>
  <si>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</si>
  <si>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</si>
  <si>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</si>
  <si>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</si>
  <si>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</si>
  <si>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</si>
  <si>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</si>
  <si>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</si>
  <si>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</si>
  <si>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</si>
  <si>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</si>
  <si>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</si>
  <si>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</si>
  <si>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</si>
  <si>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</si>
  <si>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</si>
  <si>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</si>
  <si>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</si>
  <si>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</si>
  <si>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</si>
  <si>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</si>
  <si>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</si>
  <si>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</si>
  <si>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</si>
  <si>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</si>
  <si>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</si>
  <si>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</si>
  <si>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</si>
  <si>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</si>
  <si>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</si>
  <si>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</si>
  <si>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</si>
  <si>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</si>
  <si>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</si>
  <si>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</si>
  <si>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</si>
  <si>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</si>
  <si>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</si>
  <si>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</si>
  <si>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</si>
  <si>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</si>
  <si>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</si>
  <si>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</si>
  <si>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</si>
  <si>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</si>
  <si>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</si>
  <si>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</si>
  <si>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</si>
  <si>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</si>
  <si>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</si>
  <si>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</si>
  <si>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</si>
  <si>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</si>
  <si>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</si>
  <si>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</si>
  <si>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</si>
  <si>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</si>
  <si>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</si>
  <si>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</si>
  <si>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</si>
  <si>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</si>
  <si>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</si>
  <si>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</si>
  <si>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</si>
  <si>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</si>
  <si>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</si>
  <si>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</si>
  <si>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</si>
  <si>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</si>
  <si>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</si>
  <si>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</si>
  <si>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</si>
  <si>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</si>
  <si>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</si>
  <si>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</si>
  <si>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</si>
  <si>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</si>
  <si>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</si>
  <si>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</si>
  <si>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</si>
  <si>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</si>
  <si>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</si>
  <si>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</si>
  <si>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</si>
  <si>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</si>
  <si>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</si>
  <si>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</si>
  <si>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</si>
  <si>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</si>
  <si>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</si>
  <si>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</si>
  <si>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</si>
  <si>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</si>
  <si>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</si>
  <si>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</si>
  <si>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</si>
  <si>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</si>
  <si>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</si>
  <si>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</si>
  <si>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</si>
  <si>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</si>
  <si>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</si>
  <si>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</si>
  <si>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</si>
  <si>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</si>
  <si>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</si>
  <si>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</si>
  <si>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</si>
  <si>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</si>
  <si>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</si>
  <si>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</si>
  <si>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</si>
  <si>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</si>
  <si>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</si>
  <si>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</si>
  <si>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</si>
  <si>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</si>
  <si>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</si>
  <si>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</si>
  <si>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</si>
  <si>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</si>
  <si>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</si>
  <si>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</si>
  <si>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</si>
  <si>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</si>
  <si>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</si>
  <si>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</si>
  <si>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</si>
  <si>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</si>
  <si>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</si>
  <si>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</si>
  <si>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</si>
  <si>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</si>
  <si>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</si>
  <si>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</si>
  <si>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</si>
  <si>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</si>
  <si>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</si>
  <si>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</si>
  <si>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</si>
  <si>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</si>
  <si>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</si>
  <si>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</si>
  <si>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</si>
  <si>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</si>
  <si>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</si>
  <si>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</si>
  <si>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</si>
  <si>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</si>
  <si>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</si>
  <si>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</si>
  <si>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</si>
  <si>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</si>
  <si>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</si>
  <si>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</si>
  <si>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</si>
  <si>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</si>
  <si>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</si>
  <si>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</si>
  <si>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</si>
  <si>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</si>
  <si>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</si>
  <si>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</si>
  <si>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</si>
  <si>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</si>
  <si>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</si>
  <si>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</si>
  <si>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</si>
  <si>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</si>
  <si>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</si>
  <si>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</si>
  <si>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</si>
  <si>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</si>
  <si>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</si>
  <si>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</si>
  <si>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</si>
  <si>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</si>
  <si>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</si>
  <si>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</si>
  <si>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</si>
  <si>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</si>
  <si>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</si>
  <si>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</si>
  <si>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</si>
  <si>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</si>
  <si>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</si>
  <si>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</si>
  <si>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</si>
  <si>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</si>
  <si>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</si>
  <si>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</si>
  <si>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</si>
  <si>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</si>
  <si>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</si>
  <si>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</si>
  <si>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</si>
  <si>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</si>
  <si>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</si>
  <si>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</si>
  <si>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</si>
  <si>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</si>
  <si>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</si>
  <si>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</si>
  <si>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</si>
  <si>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</si>
  <si>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</si>
  <si>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</si>
  <si>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</si>
  <si>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</si>
  <si>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</si>
  <si>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</si>
  <si>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</si>
  <si>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</si>
  <si>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</si>
  <si>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</si>
  <si>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</si>
  <si>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</si>
  <si>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</si>
  <si>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</si>
  <si>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</si>
  <si>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</si>
  <si>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</si>
  <si>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</si>
  <si>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</si>
  <si>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</si>
  <si>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</si>
  <si>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</si>
  <si>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</si>
  <si>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</si>
  <si>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</si>
  <si>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</si>
  <si>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</si>
  <si>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</si>
  <si>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</si>
  <si>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</si>
  <si>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</si>
  <si>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</si>
  <si>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</si>
  <si>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</si>
  <si>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</si>
  <si>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</si>
  <si>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</si>
  <si>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</si>
  <si>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</si>
  <si>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</si>
  <si>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</si>
  <si>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</si>
  <si>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</si>
  <si>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</si>
  <si>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</si>
  <si>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</si>
  <si>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</si>
  <si>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</si>
  <si>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</si>
  <si>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</si>
  <si>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</si>
  <si>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</si>
  <si>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</si>
  <si>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</si>
  <si>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</si>
  <si>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</si>
  <si>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</si>
  <si>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</si>
  <si>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</si>
  <si>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</si>
  <si>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</si>
  <si>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</si>
  <si>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</si>
  <si>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</si>
  <si>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</si>
  <si>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</si>
  <si>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</si>
  <si>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</si>
  <si>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</si>
  <si>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</si>
  <si>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</si>
  <si>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</si>
  <si>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</si>
  <si>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</si>
  <si>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</si>
  <si>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</si>
  <si>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</si>
  <si>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</si>
  <si>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</si>
  <si>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</si>
  <si>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</si>
  <si>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</si>
  <si>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</si>
  <si>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</si>
  <si>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</si>
  <si>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</si>
  <si>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</si>
  <si>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</si>
  <si>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</si>
  <si>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</si>
  <si>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</si>
  <si>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</si>
  <si>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</si>
  <si>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</si>
  <si>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</si>
  <si>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</si>
  <si>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</si>
  <si>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</si>
  <si>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</si>
  <si>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</si>
  <si>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</si>
  <si>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</si>
  <si>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</si>
  <si>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</si>
  <si>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</si>
  <si>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</si>
  <si>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</si>
  <si>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</si>
  <si>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</si>
  <si>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</si>
  <si>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</si>
  <si>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</si>
  <si>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</si>
  <si>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</si>
  <si>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</si>
  <si>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</si>
  <si>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</si>
  <si>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</si>
  <si>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</si>
  <si>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</si>
  <si>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</si>
  <si>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</si>
  <si>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</si>
  <si>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</si>
  <si>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</si>
  <si>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</si>
  <si>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</si>
  <si>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</si>
  <si>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</si>
  <si>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</si>
  <si>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</si>
  <si>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</si>
  <si>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</si>
  <si>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</si>
  <si>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</si>
  <si>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</si>
  <si>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</si>
  <si>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</si>
  <si>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</si>
  <si>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</si>
  <si>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</si>
  <si>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</si>
  <si>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</si>
  <si>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</si>
  <si>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</si>
  <si>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</si>
  <si>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</si>
  <si>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</si>
  <si>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</si>
  <si>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</si>
  <si>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</si>
  <si>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</si>
  <si>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</si>
  <si>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</si>
  <si>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</si>
  <si>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</si>
  <si>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</si>
  <si>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</si>
  <si>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</si>
  <si>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</si>
  <si>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</si>
  <si>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</si>
  <si>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</si>
  <si>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</si>
  <si>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</si>
  <si>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</si>
  <si>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</si>
  <si>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</si>
  <si>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</si>
  <si>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</si>
  <si>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</si>
  <si>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</si>
  <si>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</si>
  <si>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</si>
  <si>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</si>
  <si>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</si>
  <si>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</si>
  <si>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</si>
  <si>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</si>
  <si>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</si>
  <si>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</si>
  <si>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</si>
  <si>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</si>
  <si>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</si>
  <si>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</si>
  <si>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</si>
  <si>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</si>
  <si>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</si>
  <si>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</si>
  <si>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</si>
  <si>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</si>
  <si>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</si>
  <si>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</si>
  <si>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</si>
  <si>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</si>
  <si>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</si>
  <si>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</si>
  <si>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</si>
  <si>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</si>
  <si>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</si>
  <si>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</si>
  <si>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</si>
  <si>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</si>
  <si>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</si>
  <si>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</si>
  <si>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</si>
  <si>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</si>
  <si>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</si>
  <si>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</si>
  <si>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</si>
  <si>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</si>
  <si>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</si>
  <si>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</si>
  <si>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</si>
  <si>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</si>
  <si>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</si>
  <si>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</si>
  <si>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</si>
  <si>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</si>
  <si>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</si>
  <si>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</si>
  <si>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</si>
  <si>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</si>
  <si>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</si>
  <si>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</si>
  <si>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</si>
  <si>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</si>
  <si>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</si>
  <si>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</si>
  <si>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</si>
  <si>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</si>
  <si>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</si>
  <si>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</si>
  <si>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</si>
  <si>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</si>
  <si>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</si>
  <si>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</si>
  <si>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</si>
  <si>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</si>
  <si>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</si>
  <si>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</si>
  <si>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</si>
  <si>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</si>
  <si>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</si>
  <si>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</si>
  <si>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</si>
  <si>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</si>
  <si>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</si>
  <si>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</si>
  <si>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</si>
  <si>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</si>
  <si>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</si>
  <si>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</si>
  <si>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</si>
  <si>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</si>
  <si>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</si>
  <si>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</si>
  <si>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</si>
  <si>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</si>
  <si>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</si>
  <si>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</si>
  <si>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</si>
  <si>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</si>
  <si>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</si>
  <si>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</si>
  <si>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</si>
  <si>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</si>
  <si>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</si>
  <si>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</si>
  <si>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</si>
  <si>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</si>
  <si>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</si>
  <si>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</si>
  <si>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</si>
  <si>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</si>
  <si>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</si>
  <si>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</si>
  <si>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</si>
  <si>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</si>
  <si>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</si>
  <si>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</si>
  <si>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</si>
  <si>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</si>
  <si>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</si>
  <si>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</si>
  <si>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</si>
  <si>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</si>
  <si>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</si>
  <si>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</si>
  <si>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</si>
  <si>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</si>
  <si>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</si>
  <si>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</si>
  <si>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</si>
  <si>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</si>
  <si>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</si>
  <si>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</si>
  <si>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</si>
  <si>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</si>
  <si>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</si>
  <si>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</si>
  <si>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</si>
  <si>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</si>
  <si>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</si>
  <si>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</si>
  <si>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</si>
  <si>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</si>
  <si>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</si>
  <si>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</si>
  <si>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</si>
  <si>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</si>
  <si>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</si>
  <si>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</si>
  <si>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</si>
  <si>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</si>
  <si>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</si>
  <si>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</si>
  <si>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</si>
  <si>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</si>
  <si>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</si>
  <si>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</si>
  <si>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</si>
  <si>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</si>
  <si>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</si>
  <si>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</si>
  <si>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</si>
  <si>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</si>
  <si>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</si>
  <si>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</si>
  <si>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</si>
  <si>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</si>
  <si>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</si>
  <si>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</si>
  <si>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</si>
  <si>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</si>
  <si>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</si>
  <si>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</si>
  <si>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</si>
  <si>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</si>
  <si>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</si>
  <si>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</si>
  <si>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</si>
  <si>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</si>
  <si>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</si>
  <si>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</si>
  <si>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</si>
  <si>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</si>
  <si>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</si>
  <si>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</si>
  <si>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</si>
  <si>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</si>
  <si>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</si>
  <si>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</si>
  <si>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</si>
  <si>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</si>
  <si>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</si>
  <si>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</si>
  <si>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</si>
  <si>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</si>
  <si>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</si>
  <si>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</si>
  <si>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</si>
  <si>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</si>
  <si>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</si>
  <si>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</si>
  <si>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</si>
  <si>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</si>
  <si>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</si>
  <si>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</si>
  <si>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</si>
  <si>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</si>
  <si>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</si>
  <si>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</si>
  <si>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</si>
  <si>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</si>
  <si>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</si>
  <si>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</si>
  <si>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</si>
  <si>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</si>
  <si>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</si>
  <si>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</si>
  <si>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</si>
  <si>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</si>
  <si>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</si>
  <si>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</si>
  <si>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</si>
  <si>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</si>
  <si>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</si>
  <si>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</si>
  <si>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</si>
  <si>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</si>
  <si>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</si>
  <si>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</si>
  <si>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</si>
  <si>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</si>
  <si>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</si>
  <si>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</si>
  <si>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</si>
  <si>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</si>
  <si>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</si>
  <si>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</si>
  <si>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</si>
  <si>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</si>
  <si>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</si>
  <si>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</si>
  <si>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</si>
  <si>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</si>
  <si>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</si>
  <si>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</si>
  <si>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</si>
  <si>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</si>
  <si>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</si>
  <si>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</si>
  <si>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</si>
  <si>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</si>
  <si>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</si>
  <si>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</si>
  <si>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</si>
  <si>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</si>
  <si>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</si>
  <si>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</si>
  <si>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</si>
  <si>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</si>
  <si>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</si>
  <si>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</si>
  <si>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</si>
  <si>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</si>
  <si>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</si>
  <si>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</si>
  <si>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</si>
  <si>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</si>
  <si>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</si>
  <si>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</si>
  <si>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</si>
  <si>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</si>
  <si>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</si>
  <si>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</si>
  <si>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</si>
  <si>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</si>
  <si>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</si>
  <si>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</si>
  <si>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</si>
  <si>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</si>
  <si>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</si>
  <si>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</si>
  <si>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</si>
  <si>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</si>
  <si>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</si>
  <si>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</si>
  <si>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</si>
  <si>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</si>
  <si>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</si>
  <si>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</si>
  <si>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</si>
  <si>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</si>
  <si>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</si>
  <si>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</si>
  <si>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</si>
  <si>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</si>
  <si>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</si>
  <si>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</si>
  <si>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</si>
  <si>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</si>
  <si>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</si>
  <si>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</si>
  <si>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</si>
  <si>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</si>
  <si>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</si>
  <si>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</si>
  <si>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</si>
  <si>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</si>
  <si>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</si>
  <si>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</si>
  <si>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</si>
  <si>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</si>
  <si>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</si>
  <si>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</si>
  <si>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</si>
  <si>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</si>
  <si>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</si>
  <si>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</si>
  <si>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</si>
  <si>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</si>
  <si>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</si>
  <si>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</si>
  <si>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</si>
  <si>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</si>
  <si>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</si>
  <si>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</si>
  <si>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</si>
  <si>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</si>
  <si>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</si>
  <si>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</si>
  <si>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</si>
  <si>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</si>
  <si>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</si>
  <si>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</si>
  <si>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</si>
  <si>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</si>
  <si>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</si>
  <si>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</si>
  <si>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</si>
  <si>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</si>
  <si>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</si>
  <si>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</si>
  <si>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</si>
  <si>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</si>
  <si>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</si>
  <si>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</si>
  <si>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</si>
  <si>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</si>
  <si>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</si>
  <si>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</si>
  <si>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</si>
  <si>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</si>
  <si>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</si>
  <si>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</si>
  <si>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</si>
  <si>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</si>
  <si>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</si>
  <si>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</si>
  <si>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</si>
  <si>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</si>
  <si>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</si>
  <si>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</si>
  <si>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</si>
  <si>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</si>
  <si>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</si>
  <si>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</si>
  <si>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</si>
  <si>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</si>
  <si>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</si>
  <si>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</si>
  <si>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</si>
  <si>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</si>
  <si>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</si>
  <si>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</si>
  <si>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</si>
  <si>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</si>
  <si>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</si>
  <si>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</si>
  <si>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</si>
  <si>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</si>
  <si>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</si>
  <si>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</si>
  <si>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</si>
  <si>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</si>
  <si>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</si>
  <si>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</si>
  <si>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</si>
  <si>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</si>
  <si>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</si>
  <si>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</si>
  <si>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</si>
  <si>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</si>
  <si>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</si>
  <si>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</si>
  <si>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</si>
  <si>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</si>
  <si>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</si>
  <si>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</si>
  <si>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</si>
  <si>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</si>
  <si>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</si>
  <si>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</si>
  <si>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</si>
  <si>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</si>
  <si>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</si>
  <si>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</si>
  <si>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</si>
  <si>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</si>
  <si>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</si>
  <si>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</si>
  <si>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</si>
  <si>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</si>
  <si>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</si>
  <si>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</si>
  <si>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</si>
  <si>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</si>
  <si>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</si>
  <si>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</si>
  <si>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</si>
  <si>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</si>
  <si>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</si>
  <si>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</si>
  <si>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</si>
  <si>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</si>
  <si>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</si>
  <si>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</si>
  <si>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</si>
  <si>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</si>
  <si>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</si>
  <si>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</si>
  <si>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</si>
  <si>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</si>
  <si>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</si>
  <si>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</si>
  <si>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</si>
  <si>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</si>
  <si>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</si>
  <si>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</si>
  <si>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</si>
  <si>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</si>
  <si>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</si>
  <si>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</si>
  <si>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</si>
  <si>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</si>
  <si>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</si>
  <si>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</si>
  <si>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</si>
  <si>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</si>
  <si>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</si>
  <si>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</si>
  <si>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</si>
  <si>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</si>
  <si>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</si>
  <si>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</si>
  <si>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</si>
  <si>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</si>
  <si>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</si>
  <si>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</si>
  <si>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</si>
  <si>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</si>
  <si>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</si>
  <si>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</si>
  <si>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</si>
  <si>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</si>
  <si>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</si>
  <si>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</si>
  <si>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</si>
  <si>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</si>
  <si>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</si>
  <si>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</si>
  <si>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</si>
  <si>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</si>
  <si>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</si>
  <si>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</si>
  <si>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</si>
  <si>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</si>
  <si>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</si>
  <si>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</si>
  <si>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</si>
  <si>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</si>
  <si>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</si>
  <si>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</si>
  <si>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</si>
  <si>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</si>
  <si>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</si>
  <si>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</si>
  <si>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</si>
  <si>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</si>
  <si>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</si>
  <si>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</si>
  <si>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</si>
  <si>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</si>
  <si>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</si>
  <si>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</si>
  <si>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</si>
  <si>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</si>
  <si>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</si>
  <si>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</si>
  <si>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</si>
  <si>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</si>
  <si>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</si>
  <si>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</si>
  <si>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</si>
  <si>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</si>
  <si>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</si>
  <si>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</si>
  <si>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</si>
  <si>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</si>
  <si>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</si>
  <si>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</si>
  <si>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</si>
  <si>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</si>
  <si>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</si>
  <si>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</si>
  <si>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</si>
  <si>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</si>
  <si>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</si>
  <si>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</si>
  <si>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</si>
  <si>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</si>
  <si>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</si>
  <si>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</si>
  <si>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</si>
  <si>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</si>
  <si>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</si>
  <si>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</si>
  <si>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</si>
  <si>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</si>
  <si>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</si>
  <si>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</si>
  <si>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</si>
  <si>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</si>
  <si>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</si>
  <si>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</si>
  <si>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</si>
  <si>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</si>
  <si>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</si>
  <si>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</si>
  <si>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</si>
  <si>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</si>
  <si>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</si>
  <si>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</si>
  <si>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</si>
  <si>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</si>
  <si>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</si>
  <si>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</si>
  <si>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</si>
  <si>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</si>
  <si>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</si>
  <si>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</si>
  <si>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</si>
  <si>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</si>
  <si>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</si>
  <si>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</si>
  <si>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</si>
  <si>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</si>
  <si>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</si>
  <si>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</si>
  <si>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</si>
  <si>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</si>
  <si>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</si>
  <si>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</si>
  <si>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</si>
  <si>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</si>
  <si>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</si>
  <si>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</si>
  <si>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</si>
  <si>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</si>
  <si>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</si>
  <si>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</si>
  <si>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</si>
  <si>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</si>
  <si>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</si>
  <si>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</si>
  <si>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</si>
  <si>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</si>
  <si>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</si>
  <si>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</si>
  <si>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</si>
  <si>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</si>
  <si>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</si>
  <si>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</si>
  <si>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</si>
  <si>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</si>
  <si>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</si>
  <si>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</si>
  <si>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</si>
  <si>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</si>
  <si>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</si>
  <si>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</si>
  <si>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</si>
  <si>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</si>
  <si>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</si>
  <si>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</si>
  <si>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</si>
  <si>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</si>
  <si>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</si>
  <si>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</si>
  <si>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</si>
  <si>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</si>
  <si>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</si>
  <si>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</si>
  <si>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</si>
  <si>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</si>
  <si>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</si>
  <si>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</si>
  <si>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</si>
  <si>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</si>
  <si>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</si>
  <si>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</si>
  <si>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</si>
  <si>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</si>
  <si>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</si>
  <si>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</si>
  <si>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</si>
  <si>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</si>
  <si>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</si>
  <si>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</si>
  <si>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</si>
  <si>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</si>
  <si>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</si>
  <si>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</si>
  <si>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</si>
  <si>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</si>
  <si>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</si>
  <si>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</si>
  <si>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</si>
  <si>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</si>
  <si>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</si>
  <si>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</si>
  <si>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</si>
  <si>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</si>
  <si>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</si>
  <si>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</si>
  <si>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</si>
  <si>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</si>
  <si>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</si>
  <si>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</si>
  <si>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</si>
  <si>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</si>
  <si>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</si>
  <si>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</si>
  <si>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</si>
  <si>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</si>
  <si>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</si>
  <si>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</si>
  <si>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</si>
  <si>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</si>
  <si>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</si>
  <si>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</si>
  <si>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</si>
  <si>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</si>
  <si>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</si>
  <si>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</si>
  <si>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</si>
  <si>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</si>
  <si>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</si>
  <si>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</si>
  <si>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</si>
  <si>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</si>
  <si>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</si>
  <si>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</si>
  <si>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</si>
  <si>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</si>
  <si>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</si>
  <si>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</si>
  <si>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</si>
  <si>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</si>
  <si>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</si>
  <si>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</si>
  <si>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</si>
  <si>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</si>
  <si>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</si>
  <si>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</si>
  <si>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</si>
  <si>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</si>
  <si>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</si>
  <si>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</si>
  <si>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</si>
  <si>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</si>
  <si>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</si>
  <si>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</si>
  <si>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</si>
  <si>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</si>
  <si>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</si>
  <si>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</si>
  <si>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</si>
  <si>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</si>
  <si>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</si>
  <si>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</si>
  <si>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</si>
  <si>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</si>
  <si>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</si>
  <si>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</si>
  <si>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</si>
  <si>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</si>
  <si>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</si>
  <si>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</si>
  <si>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</si>
  <si>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</si>
  <si>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</si>
  <si>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</si>
  <si>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</si>
  <si>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</si>
  <si>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</si>
  <si>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</si>
  <si>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</si>
  <si>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</si>
  <si>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</si>
  <si>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</si>
  <si>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</si>
  <si>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</si>
  <si>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</si>
  <si>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</si>
  <si>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</si>
  <si>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</si>
  <si>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</si>
  <si>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</si>
  <si>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</si>
  <si>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</si>
  <si>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</si>
  <si>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</si>
  <si>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</si>
  <si>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</si>
  <si>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</si>
  <si>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</si>
  <si>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</si>
  <si>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</si>
  <si>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</si>
  <si>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</si>
  <si>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</si>
  <si>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</si>
  <si>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</si>
  <si>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</si>
  <si>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</si>
  <si>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</si>
  <si>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</si>
  <si>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</si>
  <si>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</si>
  <si>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</si>
  <si>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</si>
  <si>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</si>
  <si>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</si>
  <si>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</si>
  <si>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</si>
  <si>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</si>
  <si>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</si>
  <si>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</si>
  <si>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</si>
  <si>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</si>
  <si>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</si>
  <si>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</si>
  <si>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</si>
  <si>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</si>
  <si>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</si>
  <si>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</si>
  <si>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</si>
  <si>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</si>
  <si>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</si>
  <si>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</si>
  <si>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</si>
  <si>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</si>
  <si>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</si>
  <si>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</si>
  <si>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</si>
  <si>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</si>
  <si>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</si>
  <si>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</si>
  <si>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</si>
  <si>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</si>
  <si>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</si>
  <si>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</si>
  <si>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</si>
  <si>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</si>
  <si>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</si>
  <si>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</si>
  <si>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</si>
  <si>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</si>
  <si>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</si>
  <si>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</si>
  <si>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</si>
  <si>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</si>
  <si>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</si>
  <si>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</si>
  <si>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</si>
  <si>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</si>
  <si>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</si>
  <si>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</si>
  <si>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</si>
  <si>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</si>
  <si>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</si>
  <si>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</si>
  <si>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</si>
  <si>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</si>
  <si>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</si>
  <si>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</si>
  <si>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</si>
  <si>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</si>
  <si>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</si>
  <si>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</si>
  <si>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</si>
  <si>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</si>
  <si>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</si>
  <si>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</si>
  <si>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</si>
  <si>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</si>
  <si>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</si>
  <si>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</si>
  <si>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</si>
  <si>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</si>
  <si>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</si>
  <si>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</si>
  <si>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</si>
  <si>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</si>
  <si>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</si>
  <si>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</si>
  <si>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</si>
  <si>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</si>
  <si>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</si>
  <si>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</si>
  <si>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</si>
  <si>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</si>
  <si>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</si>
  <si>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</si>
  <si>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</si>
  <si>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</si>
  <si>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</si>
  <si>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</si>
  <si>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</si>
  <si>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</si>
  <si>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</si>
  <si>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</si>
  <si>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</si>
  <si>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</si>
  <si>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</si>
  <si>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</si>
  <si>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</si>
  <si>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</si>
  <si>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</si>
  <si>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</si>
  <si>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</si>
  <si>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</si>
  <si>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</si>
  <si>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</si>
  <si>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</si>
  <si>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</si>
  <si>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</si>
  <si>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</si>
  <si>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</si>
  <si>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</si>
  <si>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</si>
  <si>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</si>
  <si>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</si>
  <si>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</si>
  <si>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</si>
  <si>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</si>
  <si>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</si>
  <si>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</si>
  <si>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</si>
  <si>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</si>
  <si>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</si>
  <si>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</si>
  <si>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</si>
  <si>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</si>
  <si>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</si>
  <si>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</si>
  <si>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</si>
  <si>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</si>
  <si>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</si>
  <si>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</si>
  <si>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</si>
  <si>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</si>
  <si>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</si>
  <si>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</si>
  <si>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</si>
  <si>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</si>
  <si>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</si>
  <si>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</si>
  <si>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</si>
  <si>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</si>
  <si>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</si>
  <si>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</si>
  <si>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</si>
  <si>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</si>
  <si>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</si>
  <si>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</si>
  <si>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</si>
  <si>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</si>
  <si>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</si>
  <si>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</si>
  <si>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</si>
  <si>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</si>
  <si>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</si>
  <si>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</si>
  <si>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</si>
  <si>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</si>
  <si>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</si>
  <si>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</si>
  <si>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</si>
  <si>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</si>
  <si>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</si>
  <si>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</si>
  <si>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</si>
  <si>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</si>
  <si>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</si>
  <si>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</si>
  <si>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</si>
  <si>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</si>
  <si>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</si>
  <si>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</si>
  <si>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</si>
  <si>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</si>
  <si>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</si>
  <si>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</si>
  <si>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</si>
  <si>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</si>
  <si>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</si>
  <si>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</si>
  <si>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</si>
  <si>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</si>
  <si>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</si>
  <si>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</si>
  <si>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</si>
  <si>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</si>
  <si>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</si>
  <si>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</si>
  <si>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</si>
  <si>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</si>
  <si>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</si>
  <si>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</si>
  <si>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</si>
  <si>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</si>
  <si>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</si>
  <si>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</si>
  <si>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</si>
  <si>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</si>
  <si>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</si>
  <si>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</si>
  <si>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</si>
  <si>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</si>
  <si>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</si>
  <si>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</si>
  <si>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</si>
  <si>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</si>
  <si>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</si>
  <si>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</si>
  <si>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</si>
  <si>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</si>
  <si>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</si>
  <si>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</si>
  <si>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</si>
  <si>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</si>
  <si>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</si>
  <si>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</si>
  <si>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</si>
  <si>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</si>
  <si>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</si>
  <si>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</si>
  <si>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</si>
  <si>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</si>
  <si>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</si>
  <si>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</si>
  <si>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</si>
  <si>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</si>
  <si>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</si>
  <si>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</si>
  <si>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</si>
  <si>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</si>
  <si>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</si>
  <si>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</si>
  <si>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</si>
  <si>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</si>
  <si>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</si>
  <si>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</si>
  <si>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</si>
  <si>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</si>
  <si>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</si>
  <si>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</si>
  <si>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</si>
  <si>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</si>
  <si>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</si>
  <si>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</si>
  <si>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</si>
  <si>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</si>
  <si>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</si>
  <si>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</si>
  <si>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</si>
  <si>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</si>
  <si>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</si>
  <si>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</si>
  <si>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</si>
  <si>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</si>
  <si>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</si>
  <si>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</si>
  <si>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</si>
  <si>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</si>
  <si>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</si>
  <si>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</si>
  <si>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</si>
  <si>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</si>
  <si>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</si>
  <si>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</si>
  <si>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</si>
  <si>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</si>
  <si>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</si>
  <si>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</si>
  <si>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</si>
  <si>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</si>
  <si>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</si>
  <si>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</si>
  <si>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</si>
  <si>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</si>
  <si>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</si>
  <si>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</si>
  <si>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</si>
  <si>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</si>
  <si>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</si>
  <si>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</si>
  <si>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</si>
  <si>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</si>
  <si>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</si>
  <si>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</si>
  <si>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</si>
  <si>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</si>
  <si>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</si>
  <si>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</si>
  <si>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</si>
  <si>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</si>
  <si>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</si>
  <si>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</si>
  <si>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</si>
  <si>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</si>
  <si>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</si>
  <si>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</si>
  <si>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</si>
  <si>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</si>
  <si>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</si>
  <si>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</si>
  <si>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</si>
  <si>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</si>
  <si>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</si>
  <si>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</si>
  <si>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</si>
  <si>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</si>
  <si>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</si>
  <si>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</si>
  <si>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</si>
  <si>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</si>
  <si>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</si>
  <si>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</si>
  <si>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</si>
  <si>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</si>
  <si>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</si>
  <si>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</si>
  <si>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</si>
  <si>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</si>
  <si>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</si>
  <si>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</si>
  <si>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</si>
  <si>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</si>
  <si>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</si>
  <si>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</si>
  <si>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</si>
  <si>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</si>
  <si>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</si>
  <si>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</si>
  <si>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</si>
  <si>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</si>
  <si>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</si>
  <si>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</si>
  <si>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</si>
  <si>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</si>
  <si>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</si>
  <si>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</si>
  <si>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</si>
  <si>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</si>
  <si>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</si>
  <si>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</si>
  <si>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</si>
  <si>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</si>
  <si>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</si>
  <si>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</si>
  <si>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</si>
  <si>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</si>
  <si>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</si>
  <si>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</si>
  <si>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</si>
  <si>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</si>
  <si>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</si>
  <si>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</si>
  <si>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</si>
  <si>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</si>
  <si>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</si>
  <si>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</si>
  <si>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</si>
  <si>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</si>
  <si>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</si>
  <si>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</si>
  <si>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</si>
  <si>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</si>
  <si>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</si>
  <si>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</si>
  <si>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</si>
  <si>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</si>
  <si>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</si>
  <si>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</si>
  <si>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</si>
  <si>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</si>
  <si>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</si>
  <si>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</si>
  <si>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</si>
  <si>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</si>
  <si>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</si>
  <si>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</si>
  <si>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</si>
  <si>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</si>
  <si>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</si>
  <si>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</si>
  <si>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</si>
  <si>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</si>
  <si>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</si>
  <si>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</si>
  <si>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</si>
  <si>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</si>
  <si>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</si>
  <si>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</si>
  <si>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</si>
  <si>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</si>
  <si>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</si>
  <si>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</si>
  <si>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</si>
  <si>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</si>
  <si>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</si>
  <si>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</si>
  <si>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</si>
  <si>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</si>
  <si>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</si>
  <si>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</si>
  <si>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</si>
  <si>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</si>
  <si>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</si>
  <si>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</si>
  <si>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</si>
  <si>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</si>
  <si>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</si>
  <si>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</si>
  <si>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</si>
  <si>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</si>
  <si>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</si>
  <si>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</si>
  <si>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</si>
  <si>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</si>
  <si>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</si>
  <si>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</si>
  <si>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</si>
  <si>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</si>
  <si>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</si>
  <si>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</si>
  <si>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</si>
  <si>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</si>
  <si>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</si>
  <si>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</si>
  <si>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</si>
  <si>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</si>
  <si>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</si>
  <si>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</si>
  <si>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</si>
  <si>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</si>
  <si>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</si>
  <si>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</si>
  <si>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</si>
  <si>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</si>
  <si>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</si>
  <si>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</si>
  <si>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</si>
  <si>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</si>
  <si>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</si>
  <si>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</si>
  <si>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</si>
  <si>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</si>
  <si>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</si>
  <si>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</si>
  <si>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</si>
  <si>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</si>
  <si>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</si>
  <si>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</si>
  <si>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</si>
  <si>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</si>
  <si>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</si>
  <si>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</si>
  <si>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</si>
  <si>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</si>
  <si>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</si>
  <si>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</si>
  <si>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</si>
  <si>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</si>
  <si>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</si>
  <si>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</si>
  <si>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</si>
  <si>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</si>
  <si>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</si>
  <si>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</si>
  <si>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</si>
  <si>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</si>
  <si>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</si>
  <si>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</si>
  <si>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</si>
  <si>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</si>
  <si>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</si>
  <si>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</si>
  <si>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</si>
  <si>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</si>
  <si>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</si>
  <si>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</si>
  <si>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</si>
  <si>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</si>
  <si>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</si>
  <si>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</si>
  <si>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</si>
  <si>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</si>
  <si>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</si>
  <si>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</si>
  <si>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</si>
  <si>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</si>
  <si>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</si>
  <si>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</si>
  <si>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</si>
  <si>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</si>
  <si>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</si>
  <si>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</si>
  <si>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</si>
  <si>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</si>
  <si>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</si>
  <si>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</si>
  <si>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</si>
  <si>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</si>
  <si>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</si>
  <si>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</si>
  <si>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</si>
  <si>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</si>
  <si>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</si>
  <si>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</si>
  <si>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</si>
  <si>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</si>
  <si>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</si>
  <si>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</si>
  <si>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</si>
  <si>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</si>
  <si>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</si>
  <si>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</si>
  <si>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</si>
  <si>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</si>
  <si>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</si>
  <si>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</si>
  <si>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</si>
  <si>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</si>
  <si>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</si>
  <si>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</si>
  <si>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</si>
  <si>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</si>
  <si>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</si>
  <si>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</si>
  <si>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</si>
  <si>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</si>
  <si>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</si>
  <si>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</si>
  <si>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</si>
  <si>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</si>
  <si>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</si>
  <si>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</si>
  <si>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</si>
  <si>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</si>
  <si>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</si>
  <si>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</si>
  <si>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</si>
  <si>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</si>
  <si>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</si>
  <si>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</si>
  <si>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</si>
  <si>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</si>
  <si>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</si>
  <si>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</si>
  <si>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</si>
  <si>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</si>
  <si>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</si>
  <si>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</si>
  <si>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</si>
  <si>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</si>
  <si>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</si>
  <si>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</si>
  <si>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</si>
  <si>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</si>
  <si>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</si>
  <si>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</si>
  <si>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</si>
  <si>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</si>
  <si>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</si>
  <si>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</si>
  <si>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</si>
  <si>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</si>
  <si>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</si>
  <si>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</si>
  <si>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</si>
  <si>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</si>
  <si>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</si>
  <si>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</si>
  <si>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</si>
  <si>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</si>
  <si>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</si>
  <si>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</si>
  <si>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</si>
  <si>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</si>
  <si>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</si>
  <si>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</si>
  <si>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</si>
  <si>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</si>
  <si>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</si>
  <si>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</si>
  <si>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</si>
  <si>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</si>
  <si>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</si>
  <si>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</si>
  <si>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</si>
  <si>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</si>
  <si>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</si>
  <si>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</si>
  <si>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</si>
  <si>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</si>
  <si>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</si>
  <si>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</si>
  <si>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</si>
  <si>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</si>
  <si>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</si>
  <si>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</si>
  <si>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</si>
  <si>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</si>
  <si>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</si>
  <si>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</si>
  <si>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</si>
  <si>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</si>
  <si>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</si>
  <si>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</si>
  <si>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</si>
  <si>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</si>
  <si>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</si>
  <si>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</si>
  <si>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</si>
  <si>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</si>
  <si>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</si>
  <si>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</si>
  <si>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</si>
  <si>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</si>
  <si>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</si>
  <si>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</si>
  <si>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</si>
  <si>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</si>
  <si>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</si>
  <si>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</si>
  <si>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</si>
  <si>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</si>
  <si>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</si>
  <si>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</si>
  <si>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</si>
  <si>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</si>
  <si>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</si>
  <si>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</si>
  <si>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</si>
  <si>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</si>
  <si>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</si>
  <si>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</si>
  <si>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</si>
  <si>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</si>
  <si>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</si>
  <si>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</si>
  <si>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</si>
  <si>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</si>
  <si>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</si>
  <si>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</si>
  <si>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</si>
  <si>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</si>
  <si>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</si>
  <si>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</si>
  <si>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</si>
  <si>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</si>
  <si>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</si>
  <si>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</si>
  <si>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</si>
  <si>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</si>
  <si>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</si>
  <si>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</si>
  <si>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</si>
  <si>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</si>
  <si>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</si>
  <si>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</si>
  <si>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</si>
  <si>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</si>
  <si>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</si>
  <si>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</si>
  <si>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</si>
  <si>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</si>
  <si>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</si>
  <si>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</si>
  <si>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</si>
  <si>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</si>
  <si>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</si>
  <si>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</si>
  <si>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</si>
  <si>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</si>
  <si>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</si>
  <si>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</si>
  <si>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</si>
  <si>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</si>
  <si>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</si>
  <si>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</si>
  <si>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</si>
  <si>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</si>
  <si>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</si>
  <si>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</si>
  <si>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</si>
  <si>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</si>
  <si>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</si>
  <si>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</si>
  <si>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</si>
  <si>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</si>
  <si>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</si>
  <si>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</si>
  <si>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</si>
  <si>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</si>
  <si>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</si>
  <si>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</si>
  <si>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</si>
  <si>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</si>
  <si>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</si>
  <si>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</si>
  <si>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</si>
  <si>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</si>
  <si>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</si>
  <si>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</si>
  <si>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</si>
  <si>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</si>
  <si>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</si>
  <si>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</si>
  <si>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</si>
  <si>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</si>
  <si>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</si>
  <si>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</si>
  <si>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</si>
  <si>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</si>
  <si>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</si>
  <si>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</si>
  <si>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</si>
  <si>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</si>
  <si>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</si>
  <si>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</si>
  <si>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</si>
  <si>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</si>
  <si>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</si>
  <si>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</si>
  <si>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</si>
  <si>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</si>
  <si>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</si>
  <si>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</si>
  <si>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</si>
  <si>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</si>
  <si>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</si>
  <si>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</si>
  <si>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</si>
  <si>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</si>
  <si>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</si>
  <si>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</si>
  <si>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</si>
  <si>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</si>
  <si>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</si>
  <si>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</si>
  <si>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</si>
  <si>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</si>
  <si>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</si>
  <si>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</si>
  <si>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</si>
  <si>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</si>
  <si>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</si>
  <si>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</si>
  <si>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</si>
  <si>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</si>
  <si>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</si>
  <si>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</si>
  <si>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</si>
  <si>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</si>
  <si>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</si>
  <si>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</si>
  <si>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</si>
  <si>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</si>
  <si>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</si>
  <si>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</si>
  <si>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</si>
  <si>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</si>
  <si>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</si>
  <si>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</si>
  <si>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</si>
  <si>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</si>
  <si>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</si>
  <si>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</si>
  <si>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</si>
  <si>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</si>
  <si>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</si>
  <si>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</si>
  <si>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</si>
  <si>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</si>
  <si>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</si>
  <si>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</si>
  <si>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</si>
  <si>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</si>
  <si>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</si>
  <si>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</si>
  <si>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</si>
  <si>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</si>
  <si>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</si>
  <si>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</si>
  <si>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</si>
  <si>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</si>
  <si>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</si>
  <si>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</si>
  <si>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</si>
  <si>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</si>
  <si>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</si>
  <si>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</si>
  <si>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</si>
  <si>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</si>
  <si>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</si>
  <si>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</si>
  <si>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</si>
  <si>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</si>
  <si>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</si>
  <si>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</si>
  <si>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</si>
  <si>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</si>
  <si>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</si>
  <si>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</si>
  <si>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</si>
  <si>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</si>
  <si>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</si>
  <si>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</si>
  <si>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</si>
  <si>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</si>
  <si>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</si>
  <si>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</si>
  <si>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</si>
  <si>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</si>
  <si>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</si>
  <si>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</si>
  <si>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</si>
  <si>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</si>
  <si>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</si>
  <si>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</si>
  <si>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</si>
  <si>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</si>
  <si>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</si>
  <si>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</si>
  <si>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</si>
  <si>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</si>
  <si>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</si>
  <si>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</si>
  <si>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</si>
  <si>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</si>
  <si>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</si>
  <si>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</si>
  <si>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</si>
  <si>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</si>
  <si>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</si>
  <si>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</si>
  <si>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</si>
  <si>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</si>
  <si>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</si>
  <si>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</si>
  <si>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</si>
  <si>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</si>
  <si>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</si>
  <si>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</si>
  <si>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</si>
  <si>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</si>
  <si>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</si>
  <si>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</si>
  <si>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</si>
  <si>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</si>
  <si>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</si>
  <si>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</si>
  <si>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</si>
  <si>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</si>
  <si>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</si>
  <si>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</si>
  <si>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</si>
  <si>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</si>
  <si>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</si>
  <si>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</si>
  <si>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</si>
  <si>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</si>
  <si>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</si>
  <si>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</si>
  <si>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</si>
  <si>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</si>
  <si>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</si>
  <si>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</si>
  <si>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</si>
  <si>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</si>
  <si>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</si>
  <si>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</si>
  <si>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</si>
  <si>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</si>
  <si>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</si>
  <si>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</si>
  <si>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</si>
  <si>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</si>
  <si>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</si>
  <si>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</si>
  <si>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</si>
  <si>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</si>
  <si>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</si>
  <si>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</si>
  <si>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</si>
  <si>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</si>
  <si>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</si>
  <si>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</si>
  <si>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</si>
  <si>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</si>
  <si>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</si>
  <si>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</si>
  <si>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</si>
  <si>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</si>
  <si>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</si>
  <si>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</si>
  <si>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</si>
  <si>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</si>
  <si>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</si>
  <si>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</si>
  <si>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</si>
  <si>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</si>
  <si>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</si>
  <si>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</si>
  <si>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</si>
  <si>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</si>
  <si>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</si>
  <si>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</si>
  <si>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</si>
  <si>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</si>
  <si>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</si>
  <si>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</si>
  <si>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</si>
  <si>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</si>
  <si>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</si>
  <si>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</si>
  <si>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</si>
  <si>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</si>
  <si>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</si>
  <si>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</si>
  <si>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</si>
  <si>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</si>
  <si>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</si>
  <si>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</si>
  <si>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</si>
  <si>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</si>
  <si>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</si>
  <si>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</si>
  <si>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</si>
  <si>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</si>
  <si>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</si>
  <si>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</si>
  <si>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</si>
  <si>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</si>
  <si>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</si>
  <si>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</si>
  <si>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</si>
  <si>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</si>
  <si>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</si>
  <si>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</si>
  <si>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</si>
  <si>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</si>
  <si>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</si>
  <si>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</si>
  <si>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</si>
  <si>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</si>
  <si>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</si>
  <si>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</si>
  <si>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</si>
  <si>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</si>
  <si>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</si>
  <si>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</si>
  <si>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</si>
  <si>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</si>
  <si>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</si>
  <si>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</si>
  <si>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</si>
  <si>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</si>
  <si>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</si>
  <si>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</si>
  <si>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</si>
  <si>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</si>
  <si>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</si>
  <si>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</si>
  <si>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</si>
  <si>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</si>
  <si>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</si>
  <si>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</si>
  <si>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</si>
  <si>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</si>
  <si>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</si>
  <si>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</si>
  <si>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</si>
  <si>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</si>
  <si>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</si>
  <si>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</si>
  <si>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</si>
  <si>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</si>
  <si>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</si>
  <si>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</si>
  <si>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</si>
  <si>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</si>
  <si>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</si>
  <si>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</si>
  <si>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</si>
  <si>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</si>
  <si>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</si>
  <si>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</si>
  <si>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</si>
  <si>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</si>
  <si>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</si>
  <si>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</si>
  <si>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</si>
  <si>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</si>
  <si>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</si>
  <si>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</si>
  <si>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</si>
  <si>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</si>
  <si>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</si>
  <si>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</si>
  <si>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</si>
  <si>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</si>
  <si>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</si>
  <si>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</si>
  <si>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</si>
  <si>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</si>
  <si>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</si>
  <si>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</si>
  <si>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</si>
  <si>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</si>
  <si>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</si>
  <si>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</si>
  <si>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</si>
  <si>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</si>
  <si>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</si>
  <si>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</si>
  <si>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</si>
  <si>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</si>
  <si>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</si>
  <si>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</si>
  <si>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</si>
  <si>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</si>
  <si>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</si>
  <si>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</si>
  <si>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</si>
  <si>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</si>
  <si>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</si>
  <si>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</si>
  <si>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</si>
  <si>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</si>
  <si>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</si>
  <si>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</si>
  <si>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</si>
  <si>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</si>
  <si>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</si>
  <si>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</si>
  <si>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</si>
  <si>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</si>
  <si>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</si>
  <si>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</si>
  <si>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</si>
  <si>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</si>
  <si>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</si>
  <si>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</si>
  <si>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</si>
  <si>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</si>
  <si>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</si>
  <si>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</si>
  <si>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</si>
  <si>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</si>
  <si>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</si>
  <si>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</si>
  <si>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</si>
  <si>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</si>
  <si>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</si>
  <si>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</si>
  <si>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</si>
  <si>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</si>
  <si>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</si>
  <si>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</si>
  <si>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</si>
  <si>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</si>
  <si>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</si>
  <si>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</si>
  <si>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</si>
  <si>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</si>
  <si>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</si>
  <si>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</si>
  <si>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</si>
  <si>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</si>
  <si>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</si>
  <si>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</si>
  <si>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</si>
  <si>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</si>
  <si>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</si>
  <si>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</si>
  <si>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</si>
  <si>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</si>
  <si>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</si>
  <si>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</si>
  <si>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</si>
  <si>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</si>
  <si>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</si>
  <si>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</si>
  <si>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</si>
  <si>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</si>
  <si>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</si>
  <si>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</si>
  <si>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</si>
  <si>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</si>
  <si>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</si>
  <si>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</si>
  <si>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</si>
  <si>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</si>
  <si>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</si>
  <si>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</si>
  <si>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</si>
  <si>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</si>
  <si>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</si>
  <si>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</si>
  <si>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</si>
  <si>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</si>
  <si>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</si>
  <si>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</si>
  <si>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</si>
  <si>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</si>
  <si>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</si>
  <si>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</si>
  <si>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</si>
  <si>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</si>
  <si>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</si>
  <si>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</si>
  <si>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</si>
  <si>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</si>
  <si>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</si>
  <si>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</si>
  <si>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</si>
  <si>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</si>
  <si>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</si>
  <si>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</si>
  <si>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</si>
  <si>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</si>
  <si>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</si>
  <si>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</si>
  <si>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</si>
  <si>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</si>
  <si>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</si>
  <si>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</si>
  <si>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</si>
  <si>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</si>
  <si>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</si>
  <si>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</si>
  <si>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</si>
  <si>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</si>
  <si>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</si>
  <si>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</si>
  <si>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</si>
  <si>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</si>
  <si>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</si>
  <si>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</si>
  <si>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</si>
  <si>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</si>
  <si>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</si>
  <si>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</si>
  <si>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</si>
  <si>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</si>
  <si>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</si>
  <si>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</si>
  <si>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</si>
  <si>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</si>
  <si>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</si>
  <si>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</si>
  <si>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</si>
  <si>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</si>
  <si>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</si>
  <si>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</si>
  <si>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</si>
  <si>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</si>
  <si>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</si>
  <si>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</si>
  <si>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</si>
  <si>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</si>
  <si>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</si>
  <si>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</si>
  <si>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</si>
  <si>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</si>
  <si>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</si>
  <si>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</si>
  <si>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</si>
  <si>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</si>
  <si>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</si>
  <si>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</si>
  <si>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</si>
  <si>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</si>
  <si>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</si>
  <si>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</si>
  <si>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</si>
  <si>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</si>
  <si>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</si>
  <si>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</si>
  <si>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</si>
  <si>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</si>
  <si>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</si>
  <si>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</si>
  <si>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</si>
  <si>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</si>
  <si>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</si>
  <si>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</si>
  <si>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</si>
  <si>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</si>
  <si>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</si>
  <si>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</si>
  <si>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</si>
  <si>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</si>
  <si>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</si>
  <si>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</si>
  <si>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</si>
  <si>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</si>
  <si>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</si>
  <si>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</si>
  <si>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</si>
  <si>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</si>
  <si>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</si>
  <si>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</si>
  <si>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</si>
  <si>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</si>
  <si>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</si>
  <si>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</si>
  <si>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</si>
  <si>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</si>
  <si>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</si>
  <si>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</si>
  <si>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</si>
  <si>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</si>
  <si>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</si>
  <si>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</si>
  <si>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</si>
  <si>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</si>
  <si>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</si>
  <si>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</si>
  <si>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</si>
  <si>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</si>
  <si>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</si>
  <si>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</si>
  <si>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</si>
  <si>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</si>
  <si>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</si>
  <si>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</si>
  <si>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</si>
  <si>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</si>
  <si>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</si>
  <si>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</si>
  <si>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</si>
  <si>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</si>
  <si>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</si>
  <si>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</si>
  <si>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</si>
  <si>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</si>
  <si>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</si>
  <si>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</si>
  <si>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</si>
  <si>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</si>
  <si>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</si>
  <si>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</si>
  <si>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</si>
  <si>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</si>
  <si>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</si>
  <si>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</si>
  <si>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</si>
  <si>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</si>
  <si>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</si>
  <si>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</si>
  <si>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</si>
  <si>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</si>
  <si>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</si>
  <si>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</si>
  <si>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</si>
  <si>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</si>
  <si>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</si>
  <si>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</si>
  <si>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</si>
  <si>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</si>
  <si>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</si>
  <si>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</si>
  <si>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</si>
  <si>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</si>
  <si>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</si>
  <si>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</si>
  <si>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</si>
  <si>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</si>
  <si>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</si>
  <si>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</si>
  <si>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</si>
  <si>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</si>
  <si>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</si>
  <si>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</si>
  <si>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</si>
  <si>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</si>
  <si>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</si>
  <si>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</si>
  <si>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</si>
  <si>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</si>
  <si>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</si>
  <si>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</si>
  <si>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</si>
  <si>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</si>
  <si>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</si>
  <si>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</si>
  <si>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</si>
  <si>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</si>
  <si>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</si>
  <si>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</si>
  <si>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</si>
  <si>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</si>
  <si>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</si>
  <si>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</si>
  <si>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</si>
  <si>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</si>
  <si>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</si>
  <si>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</si>
  <si>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</si>
  <si>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</si>
  <si>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</si>
  <si>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</si>
  <si>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</si>
  <si>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</si>
  <si>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</si>
  <si>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</si>
  <si>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</si>
  <si>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</si>
  <si>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</si>
  <si>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</si>
  <si>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</si>
  <si>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</si>
  <si>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</si>
  <si>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</si>
  <si>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</si>
  <si>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</si>
  <si>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</si>
  <si>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</si>
  <si>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</si>
  <si>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</si>
  <si>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</si>
  <si>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</si>
  <si>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</si>
  <si>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</si>
  <si>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</si>
  <si>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</si>
  <si>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</si>
  <si>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</si>
  <si>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</si>
  <si>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</si>
  <si>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</si>
  <si>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</si>
  <si>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</si>
  <si>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</si>
  <si>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</si>
  <si>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</si>
  <si>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</si>
  <si>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</si>
  <si>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</si>
  <si>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</si>
  <si>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</si>
  <si>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</si>
  <si>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</si>
  <si>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</si>
  <si>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</si>
  <si>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</si>
  <si>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</si>
  <si>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</si>
  <si>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</si>
  <si>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</si>
  <si>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</si>
  <si>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</si>
  <si>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</si>
  <si>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</si>
  <si>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</si>
  <si>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</si>
  <si>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</si>
  <si>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</si>
  <si>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</si>
  <si>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</si>
  <si>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</si>
  <si>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</si>
  <si>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</si>
  <si>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</si>
  <si>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</si>
  <si>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</si>
  <si>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</si>
  <si>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</si>
  <si>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</si>
  <si>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</si>
  <si>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</si>
  <si>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</si>
  <si>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</si>
  <si>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</si>
  <si>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</si>
  <si>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</si>
  <si>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</si>
  <si>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</si>
  <si>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</si>
  <si>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</si>
  <si>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</si>
  <si>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</si>
  <si>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</si>
  <si>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</si>
  <si>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</si>
  <si>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</si>
  <si>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</si>
  <si>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</si>
  <si>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</si>
  <si>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</si>
  <si>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</si>
  <si>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</si>
  <si>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</si>
  <si>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</si>
  <si>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</si>
  <si>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</si>
  <si>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</si>
  <si>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</si>
  <si>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</si>
  <si>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</si>
  <si>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</si>
  <si>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</si>
  <si>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</si>
  <si>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</si>
  <si>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</si>
  <si>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</si>
  <si>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</si>
  <si>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</si>
  <si>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</si>
  <si>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</si>
  <si>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</si>
  <si>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</si>
  <si>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</si>
  <si>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</si>
  <si>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</si>
  <si>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</si>
  <si>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</si>
  <si>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</si>
  <si>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</si>
  <si>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</si>
  <si>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</si>
  <si>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</si>
  <si>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</si>
  <si>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</si>
  <si>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</si>
  <si>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</si>
  <si>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</si>
  <si>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</si>
  <si>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</si>
  <si>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</si>
  <si>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</si>
  <si>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</si>
  <si>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</si>
  <si>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</si>
  <si>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</si>
  <si>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</si>
  <si>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</si>
  <si>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</si>
  <si>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</si>
  <si>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</si>
  <si>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</si>
  <si>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</si>
  <si>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</si>
  <si>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</si>
  <si>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</si>
  <si>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</si>
  <si>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</si>
  <si>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</si>
  <si>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</si>
  <si>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</si>
  <si>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</si>
  <si>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</si>
  <si>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</si>
  <si>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</si>
  <si>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</si>
  <si>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</si>
  <si>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</si>
  <si>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</si>
  <si>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</si>
  <si>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</si>
  <si>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</si>
  <si>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</si>
  <si>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</si>
  <si>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</si>
  <si>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</si>
  <si>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</si>
  <si>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</si>
  <si>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</si>
  <si>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</si>
  <si>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</si>
  <si>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</si>
  <si>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</si>
  <si>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</si>
  <si>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</si>
  <si>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</si>
  <si>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</si>
  <si>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</si>
  <si>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</si>
  <si>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</si>
  <si>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</si>
  <si>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</si>
  <si>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</si>
  <si>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</si>
  <si>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</si>
  <si>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</si>
  <si>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</si>
  <si>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</si>
  <si>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</si>
  <si>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</si>
  <si>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</si>
  <si>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</si>
  <si>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</si>
  <si>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</si>
  <si>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</si>
  <si>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</si>
  <si>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</si>
  <si>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</si>
  <si>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</si>
  <si>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</si>
  <si>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</si>
  <si>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</si>
  <si>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</si>
  <si>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</si>
  <si>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</si>
  <si>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</si>
  <si>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</si>
  <si>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</si>
  <si>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</si>
  <si>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</si>
  <si>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</si>
  <si>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</si>
  <si>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</si>
  <si>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</si>
  <si>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</si>
  <si>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</si>
  <si>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</si>
  <si>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</si>
  <si>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</si>
  <si>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</si>
  <si>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</si>
  <si>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</si>
  <si>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</si>
  <si>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</si>
  <si>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</si>
  <si>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</si>
  <si>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</si>
  <si>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</si>
  <si>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</si>
  <si>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</si>
  <si>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</si>
  <si>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</si>
  <si>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</si>
  <si>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</si>
  <si>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</si>
  <si>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</si>
  <si>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</si>
  <si>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</si>
  <si>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</si>
  <si>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</si>
  <si>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</si>
  <si>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</si>
  <si>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</si>
  <si>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</si>
  <si>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</si>
  <si>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</si>
  <si>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</si>
  <si>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</si>
  <si>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</si>
  <si>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</si>
  <si>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</si>
  <si>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</si>
  <si>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</si>
  <si>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</si>
  <si>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</si>
  <si>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</si>
  <si>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</si>
  <si>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</si>
  <si>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</si>
  <si>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</si>
  <si>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</si>
  <si>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</si>
  <si>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</si>
  <si>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</si>
  <si>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</si>
  <si>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</si>
  <si>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</si>
  <si>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</si>
  <si>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</si>
  <si>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</si>
  <si>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</si>
  <si>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</si>
  <si>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</si>
  <si>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</si>
  <si>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</si>
  <si>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</si>
  <si>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</si>
  <si>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</si>
  <si>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</si>
  <si>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</si>
  <si>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</si>
  <si>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</si>
  <si>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</si>
  <si>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</si>
  <si>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</si>
  <si>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</si>
  <si>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</si>
  <si>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</si>
  <si>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</si>
  <si>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</si>
  <si>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</si>
  <si>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</si>
  <si>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</si>
  <si>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</si>
  <si>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</si>
  <si>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</si>
  <si>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</si>
  <si>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</si>
  <si>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</si>
  <si>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</si>
  <si>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</si>
  <si>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</si>
  <si>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</si>
  <si>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</si>
  <si>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</si>
  <si>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</si>
  <si>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</si>
  <si>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</si>
  <si>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</si>
  <si>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</si>
  <si>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</si>
  <si>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</si>
  <si>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</si>
  <si>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</si>
  <si>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</si>
  <si>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</si>
  <si>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</si>
  <si>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</si>
  <si>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</si>
  <si>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</si>
  <si>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</si>
  <si>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</si>
  <si>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</si>
  <si>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</si>
  <si>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</si>
  <si>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</si>
  <si>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</si>
  <si>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</si>
  <si>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</si>
  <si>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</si>
  <si>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</si>
  <si>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</si>
  <si>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</si>
  <si>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</si>
  <si>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</si>
  <si>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</si>
  <si>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</si>
  <si>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</si>
  <si>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</si>
  <si>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</si>
  <si>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</si>
  <si>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</si>
  <si>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</si>
  <si>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</si>
  <si>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</si>
  <si>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</si>
  <si>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</si>
  <si>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</si>
  <si>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</si>
  <si>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</si>
  <si>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</si>
  <si>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</si>
  <si>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</si>
  <si>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</si>
  <si>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</si>
  <si>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</si>
  <si>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</si>
  <si>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</si>
  <si>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</si>
  <si>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</si>
  <si>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</si>
  <si>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</si>
  <si>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</si>
  <si>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</si>
  <si>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</si>
  <si>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</si>
  <si>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</si>
  <si>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</si>
  <si>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</si>
  <si>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</si>
  <si>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</si>
  <si>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</si>
  <si>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</si>
  <si>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</si>
  <si>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</si>
  <si>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</si>
  <si>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</si>
  <si>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</si>
  <si>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</si>
  <si>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</si>
  <si>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</si>
  <si>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</si>
  <si>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</si>
  <si>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</si>
  <si>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</si>
  <si>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</si>
  <si>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</si>
  <si>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</si>
  <si>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</si>
  <si>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</si>
  <si>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</si>
  <si>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</si>
  <si>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</si>
  <si>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</si>
  <si>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</si>
  <si>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</si>
  <si>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</si>
  <si>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</si>
  <si>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</si>
  <si>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</si>
  <si>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</si>
  <si>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</si>
  <si>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</si>
  <si>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</si>
  <si>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</si>
  <si>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</si>
  <si>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</si>
  <si>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</si>
  <si>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</si>
  <si>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</si>
  <si>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</si>
  <si>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</si>
  <si>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</si>
  <si>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</si>
  <si>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</si>
  <si>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</si>
  <si>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</si>
  <si>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</si>
  <si>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</si>
  <si>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</si>
  <si>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</si>
  <si>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</si>
  <si>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</si>
  <si>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</si>
  <si>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</si>
  <si>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</si>
  <si>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</si>
  <si>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</si>
  <si>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</si>
  <si>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</si>
  <si>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</si>
  <si>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</si>
  <si>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</si>
  <si>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</si>
  <si>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</si>
  <si>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</si>
  <si>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</si>
  <si>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</si>
  <si>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</si>
  <si>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</si>
  <si>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</si>
  <si>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</si>
  <si>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</si>
  <si>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</si>
  <si>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</si>
  <si>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</si>
  <si>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</si>
  <si>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</si>
  <si>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</si>
  <si>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</si>
  <si>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</si>
  <si>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</si>
  <si>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</si>
  <si>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</si>
  <si>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</si>
  <si>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</si>
  <si>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</si>
  <si>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</si>
  <si>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</si>
  <si>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</si>
  <si>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</si>
  <si>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</si>
  <si>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</si>
  <si>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</si>
  <si>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</si>
  <si>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</si>
  <si>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</si>
  <si>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</si>
  <si>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</si>
  <si>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</si>
  <si>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</si>
  <si>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</si>
  <si>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</si>
  <si>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</si>
  <si>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</si>
  <si>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</si>
  <si>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</si>
  <si>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</si>
  <si>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</si>
  <si>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</si>
  <si>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</si>
  <si>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</si>
  <si>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</si>
  <si>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</si>
  <si>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</si>
  <si>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</si>
  <si>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</si>
  <si>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</si>
  <si>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</si>
  <si>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</si>
  <si>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</si>
  <si>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</si>
  <si>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</si>
  <si>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</si>
  <si>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</si>
  <si>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</si>
  <si>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</si>
  <si>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</si>
  <si>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</si>
  <si>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</si>
  <si>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</si>
  <si>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</si>
  <si>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</si>
  <si>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</si>
  <si>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</si>
  <si>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</si>
  <si>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</si>
  <si>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</si>
  <si>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</si>
  <si>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</si>
  <si>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</si>
  <si>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</si>
  <si>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</si>
  <si>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</si>
  <si>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</si>
  <si>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</si>
  <si>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</si>
  <si>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</si>
  <si>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</si>
  <si>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</si>
  <si>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</si>
  <si>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</si>
  <si>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</si>
  <si>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</si>
  <si>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</si>
  <si>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</si>
  <si>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</si>
  <si>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</si>
  <si>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</si>
  <si>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</si>
  <si>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</si>
  <si>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</si>
  <si>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</si>
  <si>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</si>
  <si>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</si>
  <si>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</si>
  <si>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</si>
  <si>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</si>
  <si>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</si>
  <si>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</si>
  <si>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</si>
  <si>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</si>
  <si>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</si>
  <si>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</si>
  <si>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</si>
  <si>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</si>
  <si>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</si>
  <si>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</si>
  <si>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</si>
  <si>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</si>
  <si>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</si>
  <si>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</si>
  <si>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</si>
  <si>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</si>
  <si>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</si>
  <si>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</si>
  <si>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</si>
  <si>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</si>
  <si>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</si>
  <si>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</si>
  <si>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</si>
  <si>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</si>
  <si>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</si>
  <si>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</si>
  <si>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</si>
  <si>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</si>
  <si>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</si>
  <si>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</si>
  <si>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</si>
  <si>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</si>
  <si>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</si>
  <si>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</si>
  <si>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</si>
  <si>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</si>
  <si>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</si>
  <si>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</si>
  <si>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</si>
  <si>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</si>
  <si>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</si>
  <si>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</si>
  <si>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</si>
  <si>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</si>
  <si>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</si>
  <si>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</si>
  <si>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</si>
  <si>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</si>
  <si>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</si>
  <si>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</si>
  <si>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</si>
  <si>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</si>
  <si>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</si>
  <si>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</si>
  <si>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</si>
  <si>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</si>
  <si>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</si>
  <si>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</si>
  <si>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</si>
  <si>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</si>
  <si>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</si>
  <si>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</si>
  <si>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</si>
  <si>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</si>
  <si>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</si>
  <si>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</si>
  <si>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</si>
  <si>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</si>
  <si>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</si>
  <si>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</si>
  <si>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</si>
  <si>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</si>
  <si>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</si>
  <si>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</si>
  <si>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</si>
  <si>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</si>
  <si>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</si>
  <si>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</si>
  <si>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</si>
  <si>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</si>
  <si>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</si>
  <si>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</si>
  <si>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</si>
  <si>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</si>
  <si>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</si>
  <si>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</si>
  <si>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</si>
  <si>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</si>
  <si>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</si>
  <si>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</si>
  <si>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</si>
  <si>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</si>
  <si>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</si>
  <si>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</si>
  <si>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</si>
  <si>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</si>
  <si>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</si>
  <si>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</si>
  <si>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</si>
  <si>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</si>
  <si>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</si>
  <si>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</si>
  <si>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</si>
  <si>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</si>
  <si>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</si>
  <si>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</si>
  <si>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</si>
  <si>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</si>
  <si>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</si>
  <si>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</si>
  <si>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</si>
  <si>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</si>
  <si>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</si>
  <si>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</si>
  <si>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</si>
  <si>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</si>
  <si>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</si>
  <si>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</si>
  <si>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</si>
  <si>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</si>
  <si>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</si>
  <si>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</si>
  <si>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</si>
  <si>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</si>
  <si>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</si>
  <si>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</si>
  <si>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</si>
  <si>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</si>
  <si>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</si>
  <si>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</si>
  <si>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</si>
  <si>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</si>
  <si>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</si>
  <si>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</si>
  <si>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</si>
  <si>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</si>
  <si>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</si>
  <si>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</si>
  <si>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</si>
  <si>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</si>
  <si>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</si>
  <si>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</si>
  <si>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</si>
  <si>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</si>
  <si>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</si>
  <si>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</si>
  <si>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</si>
  <si>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</si>
  <si>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</si>
  <si>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</si>
  <si>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</si>
  <si>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</si>
  <si>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</si>
  <si>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</si>
  <si>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</si>
  <si>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</si>
  <si>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</si>
  <si>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</si>
  <si>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</si>
  <si>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</si>
  <si>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</si>
  <si>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</si>
  <si>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</si>
  <si>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</si>
  <si>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</si>
  <si>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</si>
  <si>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</si>
  <si>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</si>
  <si>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</si>
  <si>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</si>
  <si>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</si>
  <si>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</si>
  <si>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</si>
  <si>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</si>
  <si>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</si>
  <si>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</si>
  <si>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</si>
  <si>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</si>
  <si>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</si>
  <si>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</si>
  <si>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</si>
  <si>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</si>
  <si>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</si>
  <si>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</si>
  <si>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</si>
  <si>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</si>
  <si>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</si>
  <si>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</si>
  <si>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</si>
  <si>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</si>
  <si>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</si>
  <si>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</si>
  <si>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</si>
  <si>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</si>
  <si>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</si>
  <si>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</si>
  <si>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</si>
  <si>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</si>
  <si>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</si>
  <si>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</si>
  <si>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</si>
  <si>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</si>
  <si>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</si>
  <si>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</si>
  <si>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</si>
  <si>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</si>
  <si>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</si>
  <si>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</si>
  <si>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</si>
  <si>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</si>
  <si>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</si>
  <si>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</si>
  <si>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</si>
  <si>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</si>
  <si>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</si>
  <si>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</si>
  <si>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</si>
  <si>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</si>
  <si>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</si>
  <si>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</si>
  <si>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</si>
  <si>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</si>
  <si>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</si>
  <si>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</si>
  <si>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</si>
  <si>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</si>
  <si>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</si>
  <si>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</si>
  <si>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</si>
  <si>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</si>
  <si>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</si>
  <si>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</si>
  <si>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</si>
  <si>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</si>
  <si>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</si>
  <si>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</si>
  <si>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</si>
  <si>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</si>
  <si>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</si>
  <si>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</si>
  <si>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</si>
  <si>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</si>
  <si>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</si>
  <si>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</si>
  <si>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</si>
  <si>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</si>
  <si>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</si>
  <si>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</si>
  <si>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</si>
  <si>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</si>
  <si>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</si>
  <si>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</si>
  <si>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</si>
  <si>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</si>
  <si>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</si>
  <si>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</si>
  <si>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</si>
  <si>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</si>
  <si>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</si>
  <si>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</si>
  <si>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</si>
  <si>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</si>
  <si>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</si>
  <si>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</si>
  <si>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</si>
  <si>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</si>
  <si>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</si>
  <si>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</si>
  <si>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</si>
  <si>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</si>
  <si>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</si>
  <si>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</si>
  <si>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</si>
  <si>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</si>
  <si>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</si>
  <si>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</si>
  <si>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</si>
  <si>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</si>
  <si>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</si>
  <si>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</si>
  <si>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</si>
  <si>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</si>
  <si>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</si>
  <si>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</si>
  <si>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</si>
  <si>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</si>
  <si>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</si>
  <si>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</si>
  <si>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</si>
  <si>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</si>
  <si>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</si>
  <si>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</si>
  <si>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</si>
  <si>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</si>
  <si>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</si>
  <si>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</si>
  <si>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</si>
  <si>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</si>
  <si>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</si>
  <si>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</si>
  <si>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</si>
  <si>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</si>
  <si>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</si>
  <si>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</si>
  <si>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</si>
  <si>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</si>
  <si>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</si>
  <si>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</si>
  <si>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</si>
  <si>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</si>
  <si>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</si>
  <si>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</si>
  <si>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</si>
  <si>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</si>
  <si>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</si>
  <si>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</si>
  <si>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</si>
  <si>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</si>
  <si>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</si>
  <si>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</si>
  <si>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</si>
  <si>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</si>
  <si>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</si>
  <si>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</si>
  <si>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</si>
  <si>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</si>
  <si>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</si>
  <si>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</si>
  <si>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</si>
  <si>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</si>
  <si>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</si>
  <si>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</si>
  <si>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</si>
  <si>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</si>
  <si>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</si>
  <si>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</si>
  <si>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</si>
  <si>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</si>
  <si>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</si>
  <si>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</si>
  <si>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</si>
  <si>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</si>
  <si>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</si>
  <si>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</si>
  <si>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</si>
  <si>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</si>
  <si>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</si>
  <si>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</si>
  <si>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</si>
  <si>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</si>
  <si>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</si>
  <si>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</si>
  <si>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</si>
  <si>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</si>
  <si>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</si>
  <si>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</si>
  <si>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</si>
  <si>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</si>
  <si>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</si>
  <si>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</si>
  <si>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</si>
  <si>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</si>
  <si>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</si>
  <si>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</si>
  <si>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</si>
  <si>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</si>
  <si>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</si>
  <si>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</si>
  <si>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</si>
  <si>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</si>
  <si>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</si>
  <si>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</si>
  <si>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</si>
  <si>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</si>
  <si>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</si>
  <si>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</si>
  <si>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</si>
  <si>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</si>
  <si>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</si>
  <si>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</si>
  <si>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</si>
  <si>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</si>
  <si>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</si>
  <si>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</si>
  <si>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</si>
  <si>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</si>
  <si>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</si>
  <si>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</si>
  <si>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</si>
  <si>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</si>
  <si>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</si>
  <si>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</si>
  <si>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</si>
  <si>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</si>
  <si>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</si>
  <si>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</si>
  <si>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</si>
  <si>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</si>
  <si>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</si>
  <si>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</si>
  <si>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</si>
  <si>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</si>
  <si>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</si>
  <si>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</si>
  <si>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</si>
  <si>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</si>
  <si>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</si>
  <si>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</si>
  <si>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</si>
  <si>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</si>
  <si>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</si>
  <si>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</si>
  <si>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</si>
  <si>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</si>
  <si>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</si>
  <si>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</si>
  <si>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</si>
  <si>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</si>
  <si>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</si>
  <si>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</si>
  <si>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</si>
  <si>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</si>
  <si>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</si>
  <si>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</si>
  <si>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</si>
  <si>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</si>
  <si>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</si>
  <si>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</si>
  <si>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</si>
  <si>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</si>
  <si>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</si>
  <si>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</si>
  <si>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</si>
  <si>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</si>
  <si>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</si>
  <si>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</si>
  <si>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</si>
  <si>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</si>
  <si>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</si>
  <si>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</si>
  <si>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</si>
  <si>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</si>
  <si>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</si>
  <si>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</si>
  <si>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</si>
  <si>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</si>
  <si>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</si>
  <si>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</si>
  <si>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</si>
  <si>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</si>
  <si>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</si>
  <si>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</si>
  <si>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</si>
  <si>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</si>
  <si>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</si>
  <si>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</si>
  <si>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</si>
  <si>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</si>
  <si>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</si>
  <si>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</si>
  <si>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</si>
  <si>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</si>
  <si>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</si>
  <si>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</si>
  <si>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</si>
  <si>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</si>
  <si>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</si>
  <si>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</si>
  <si>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</si>
  <si>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</si>
  <si>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</si>
  <si>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</si>
  <si>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</si>
  <si>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</si>
  <si>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</si>
  <si>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</si>
  <si>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</si>
  <si>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</si>
  <si>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</si>
  <si>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</si>
  <si>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</si>
  <si>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</si>
  <si>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</si>
  <si>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</si>
  <si>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</si>
  <si>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</si>
  <si>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</si>
  <si>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</si>
  <si>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</si>
  <si>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</si>
  <si>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</si>
  <si>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</si>
  <si>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</si>
  <si>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</si>
  <si>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</si>
  <si>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</si>
  <si>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</si>
  <si>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</si>
  <si>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</si>
  <si>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</si>
  <si>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</si>
  <si>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</si>
  <si>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</si>
  <si>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</si>
  <si>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</si>
  <si>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</si>
  <si>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</si>
  <si>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</si>
  <si>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</si>
  <si>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</si>
  <si>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</si>
  <si>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</si>
  <si>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</si>
  <si>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</si>
  <si>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</si>
  <si>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</si>
  <si>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</si>
  <si>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</si>
  <si>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</si>
  <si>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</si>
  <si>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</si>
  <si>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</si>
  <si>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</si>
  <si>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</si>
  <si>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</si>
  <si>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</si>
  <si>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</si>
  <si>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</si>
  <si>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</si>
  <si>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</si>
  <si>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</si>
  <si>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</si>
  <si>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</si>
  <si>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</si>
  <si>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</si>
  <si>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</si>
  <si>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</si>
  <si>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</si>
  <si>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</si>
  <si>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</si>
  <si>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</si>
  <si>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</si>
  <si>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</si>
  <si>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</si>
  <si>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</si>
  <si>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</si>
  <si>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</si>
  <si>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</si>
  <si>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</si>
  <si>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</si>
  <si>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</si>
  <si>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</si>
  <si>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</si>
  <si>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</si>
  <si>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</si>
  <si>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</si>
  <si>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</si>
  <si>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</si>
  <si>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</si>
  <si>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</si>
  <si>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</si>
  <si>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</si>
  <si>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</si>
  <si>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</si>
  <si>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</si>
  <si>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</si>
  <si>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</si>
  <si>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</si>
  <si>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</si>
  <si>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</si>
  <si>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</si>
  <si>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</si>
  <si>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</si>
  <si>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</si>
  <si>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</si>
  <si>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</si>
  <si>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</si>
  <si>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</si>
  <si>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</si>
  <si>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</si>
  <si>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</si>
  <si>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</si>
  <si>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</si>
  <si>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</si>
  <si>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</si>
  <si>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</si>
  <si>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</si>
  <si>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</si>
  <si>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</si>
  <si>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</si>
  <si>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</si>
  <si>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</si>
  <si>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</si>
  <si>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</si>
  <si>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</si>
  <si>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</si>
  <si>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</si>
  <si>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</si>
  <si>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</si>
  <si>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</si>
  <si>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</si>
  <si>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</si>
  <si>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</si>
  <si>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</si>
  <si>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</si>
  <si>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</si>
  <si>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</si>
  <si>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</si>
  <si>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</si>
  <si>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</si>
  <si>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</si>
  <si>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</si>
  <si>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</si>
  <si>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</si>
  <si>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</si>
  <si>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</si>
  <si>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</si>
  <si>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</si>
  <si>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</si>
  <si>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</si>
  <si>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</si>
  <si>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</si>
  <si>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</si>
  <si>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</si>
  <si>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</si>
  <si>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</si>
  <si>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</si>
  <si>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</si>
  <si>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</si>
  <si>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</si>
  <si>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</si>
  <si>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</si>
  <si>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</si>
  <si>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</si>
  <si>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</si>
  <si>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</si>
  <si>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</si>
  <si>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</si>
  <si>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</si>
  <si>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</si>
  <si>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</si>
  <si>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</si>
  <si>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</si>
  <si>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</si>
  <si>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</si>
  <si>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</si>
  <si>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</si>
  <si>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</si>
  <si>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</si>
  <si>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</si>
  <si>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</si>
  <si>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</si>
  <si>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</si>
  <si>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</si>
  <si>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</si>
  <si>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</si>
  <si>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</si>
  <si>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</si>
  <si>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</si>
  <si>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</si>
  <si>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</si>
  <si>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</si>
  <si>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</si>
  <si>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</si>
  <si>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</si>
  <si>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</si>
  <si>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</si>
  <si>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</si>
  <si>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</si>
  <si>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</si>
  <si>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</si>
  <si>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</si>
  <si>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</si>
  <si>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</si>
  <si>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</si>
  <si>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</si>
  <si>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</si>
  <si>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</si>
  <si>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</si>
  <si>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</si>
  <si>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</si>
  <si>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</si>
  <si>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</si>
  <si>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</si>
  <si>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</si>
  <si>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</si>
  <si>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</si>
  <si>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</si>
  <si>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</si>
  <si>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</si>
  <si>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ECOP - SILVERADO 2104 - H05-LR726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</si>
  <si>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</si>
  <si>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</si>
  <si>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</si>
  <si>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</si>
  <si>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</si>
  <si>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</si>
  <si>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</si>
  <si>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</si>
  <si>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</si>
  <si>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</si>
  <si>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</si>
  <si>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</si>
  <si>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</si>
  <si>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</si>
  <si>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</si>
  <si>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</si>
  <si>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</si>
  <si>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</si>
  <si>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</si>
  <si>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</si>
  <si>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</si>
  <si>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</si>
  <si>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</si>
  <si>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</si>
  <si>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</si>
  <si>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</si>
  <si>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</si>
  <si>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</si>
  <si>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</si>
  <si>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</si>
  <si>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</si>
  <si>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</si>
  <si>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</si>
  <si>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</si>
  <si>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</si>
  <si>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</si>
  <si>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</si>
  <si>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</si>
  <si>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</si>
  <si>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</si>
  <si>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</si>
  <si>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</si>
  <si>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</si>
  <si>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</si>
  <si>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</si>
  <si>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</si>
  <si>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</si>
  <si>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</si>
  <si>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</si>
  <si>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</si>
  <si>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</si>
  <si>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</si>
  <si>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</si>
  <si>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</si>
  <si>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</si>
  <si>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</si>
  <si>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</si>
  <si>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</si>
  <si>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</si>
  <si>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</si>
  <si>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</si>
  <si>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</si>
  <si>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</si>
  <si>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</si>
  <si>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</si>
  <si>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</si>
  <si>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</si>
  <si>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</si>
  <si>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</si>
  <si>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</si>
  <si>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</si>
  <si>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</si>
  <si>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</si>
  <si>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</si>
  <si>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</si>
  <si>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</si>
  <si>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</si>
  <si>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</si>
  <si>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</si>
  <si>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</si>
  <si>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</si>
  <si>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</si>
  <si>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</si>
  <si>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</si>
  <si>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</si>
  <si>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</si>
  <si>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</si>
  <si>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</si>
  <si>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</si>
  <si>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</si>
  <si>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</si>
  <si>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</si>
  <si>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</si>
  <si>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</si>
  <si>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</si>
  <si>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</si>
  <si>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</si>
  <si>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</si>
  <si>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</si>
  <si>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</si>
  <si>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</si>
  <si>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</si>
  <si>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</si>
  <si>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</si>
  <si>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</si>
  <si>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</si>
  <si>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</si>
  <si>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</si>
  <si>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</si>
  <si>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</si>
  <si>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</si>
  <si>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</si>
  <si>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</si>
  <si>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</si>
  <si>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</si>
  <si>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</si>
  <si>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</si>
  <si>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</si>
  <si>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</si>
  <si>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</si>
  <si>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</si>
  <si>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</si>
  <si>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</si>
  <si>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</si>
  <si>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</si>
  <si>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</si>
  <si>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</si>
  <si>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</si>
  <si>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</si>
  <si>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</si>
  <si>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</si>
  <si>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</si>
  <si>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</si>
  <si>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</si>
  <si>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</si>
  <si>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</si>
  <si>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</si>
  <si>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</si>
  <si>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</si>
  <si>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</si>
  <si>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</si>
  <si>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</si>
  <si>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</si>
  <si>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</si>
  <si>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</si>
  <si>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</si>
  <si>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</si>
  <si>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</si>
  <si>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</si>
  <si>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</si>
  <si>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</si>
  <si>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</si>
  <si>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</si>
  <si>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</si>
  <si>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</si>
  <si>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</si>
  <si>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</si>
  <si>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</si>
  <si>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</si>
  <si>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</si>
  <si>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</si>
  <si>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</si>
  <si>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</si>
  <si>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</si>
  <si>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</si>
  <si>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</si>
  <si>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</si>
  <si>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</si>
  <si>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</si>
  <si>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</si>
  <si>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</si>
  <si>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</si>
  <si>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</si>
  <si>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</si>
  <si>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</si>
  <si>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</si>
  <si>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</si>
  <si>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</si>
  <si>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</si>
  <si>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</si>
  <si>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</si>
  <si>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</si>
  <si>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</si>
  <si>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</si>
  <si>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</si>
  <si>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</si>
  <si>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</si>
  <si>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</si>
  <si>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</si>
  <si>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</si>
  <si>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</si>
  <si>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</si>
  <si>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</si>
  <si>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</si>
  <si>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</si>
  <si>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</si>
  <si>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</si>
  <si>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</si>
  <si>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</si>
  <si>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</si>
  <si>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</si>
  <si>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</si>
  <si>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</si>
  <si>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</si>
  <si>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</si>
  <si>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</si>
  <si>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</si>
  <si>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</si>
  <si>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</si>
  <si>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</si>
  <si>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</si>
  <si>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</si>
  <si>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</si>
  <si>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</si>
  <si>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</si>
  <si>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</si>
  <si>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</si>
  <si>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</si>
  <si>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</si>
  <si>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</si>
  <si>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</si>
  <si>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</si>
  <si>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</si>
  <si>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</si>
  <si>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</si>
  <si>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</si>
  <si>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</si>
  <si>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</si>
  <si>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</si>
  <si>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</si>
  <si>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</si>
  <si>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</si>
  <si>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</si>
  <si>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</si>
  <si>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</si>
  <si>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</si>
  <si>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</si>
  <si>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</si>
  <si>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</si>
  <si>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</si>
  <si>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</si>
  <si>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</si>
  <si>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</si>
  <si>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</si>
  <si>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</si>
  <si>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</si>
  <si>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</si>
  <si>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</si>
  <si>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</si>
  <si>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</si>
  <si>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</si>
  <si>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</si>
  <si>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</si>
  <si>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</si>
  <si>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</si>
  <si>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</si>
  <si>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</si>
  <si>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</si>
  <si>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</si>
  <si>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</si>
  <si>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</si>
  <si>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</si>
  <si>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</si>
  <si>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</si>
  <si>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</si>
  <si>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</si>
  <si>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</si>
  <si>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</si>
  <si>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</si>
  <si>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</si>
  <si>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</si>
  <si>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</si>
  <si>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</si>
  <si>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</si>
  <si>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</si>
  <si>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</si>
  <si>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</si>
  <si>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</si>
  <si>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</si>
  <si>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</si>
  <si>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</si>
  <si>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</si>
  <si>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</si>
  <si>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</si>
  <si>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</si>
  <si>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</si>
  <si>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</si>
  <si>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</si>
  <si>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</si>
  <si>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</si>
  <si>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</si>
  <si>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</si>
  <si>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</si>
  <si>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</si>
  <si>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</si>
  <si>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</si>
  <si>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</si>
  <si>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</si>
  <si>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</si>
  <si>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</si>
  <si>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</si>
  <si>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</si>
  <si>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</si>
  <si>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</si>
  <si>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</si>
  <si>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</si>
  <si>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</si>
  <si>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</si>
  <si>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</si>
  <si>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</si>
  <si>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</si>
  <si>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</si>
  <si>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</si>
  <si>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</si>
  <si>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</si>
  <si>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</si>
  <si>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</si>
  <si>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</si>
  <si>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</si>
  <si>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</si>
  <si>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</si>
  <si>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</si>
  <si>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</si>
  <si>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</si>
  <si>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</si>
  <si>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</si>
  <si>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</si>
  <si>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</si>
  <si>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</si>
  <si>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</si>
  <si>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</si>
  <si>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</si>
  <si>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</si>
  <si>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</si>
  <si>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</si>
  <si>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</si>
  <si>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</si>
  <si>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</si>
  <si>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</si>
  <si>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</si>
  <si>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</si>
  <si>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</si>
  <si>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</si>
  <si>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E.5034572.01.06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</si>
  <si>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</si>
  <si>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</si>
  <si>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</si>
  <si>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</si>
  <si>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</si>
  <si>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</si>
  <si>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</si>
  <si>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</si>
  <si>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</si>
  <si>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</si>
  <si>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</si>
  <si>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</si>
  <si>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</si>
  <si>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</si>
  <si>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</si>
  <si>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</si>
  <si>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</si>
  <si>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</si>
  <si>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</si>
  <si>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</si>
  <si>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</si>
  <si>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</si>
  <si>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</si>
  <si>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</si>
  <si>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</si>
  <si>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</si>
  <si>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</si>
  <si>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</si>
  <si>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</si>
  <si>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</si>
  <si>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</si>
  <si>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</si>
  <si>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</si>
  <si>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</si>
  <si>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</si>
  <si>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</si>
  <si>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</si>
  <si>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</si>
  <si>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</si>
  <si>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</si>
  <si>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</si>
  <si>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</si>
  <si>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</si>
  <si>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</si>
  <si>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</si>
  <si>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</si>
  <si>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</si>
  <si>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</si>
  <si>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</si>
  <si>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</si>
  <si>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</si>
  <si>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</si>
  <si>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</si>
  <si>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</si>
  <si>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</si>
  <si>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</si>
  <si>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</si>
  <si>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</si>
  <si>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</si>
  <si>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</si>
  <si>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</si>
  <si>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</si>
  <si>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</si>
  <si>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</si>
  <si>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</si>
  <si>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</si>
  <si>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</si>
  <si>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</si>
  <si>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</si>
  <si>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</si>
  <si>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</si>
  <si>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</si>
  <si>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</si>
  <si>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</si>
  <si>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</si>
  <si>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</si>
  <si>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</si>
  <si>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</si>
  <si>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</si>
  <si>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</si>
  <si>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</si>
  <si>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</si>
  <si>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KONOCTI 1102 LR 965078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</si>
  <si>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</si>
  <si>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</si>
  <si>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</si>
  <si>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</si>
  <si>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</si>
  <si>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</si>
  <si>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</si>
  <si>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</si>
  <si>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</si>
  <si>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</si>
  <si>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</si>
  <si>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</si>
  <si>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</si>
  <si>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</si>
  <si>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</si>
  <si>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</si>
  <si>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</si>
  <si>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</si>
  <si>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</si>
  <si>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VACAVILLE 11046542</t>
  </si>
  <si>
    <t>CWSP - VACAVILLE 110847860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</si>
  <si>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</si>
  <si>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</si>
  <si>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</si>
  <si>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</si>
  <si>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</si>
  <si>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</si>
  <si>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</si>
  <si>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</si>
  <si>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</si>
  <si>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</si>
  <si>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</si>
  <si>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</si>
  <si>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</si>
  <si>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</si>
  <si>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</si>
  <si>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</si>
  <si>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</si>
  <si>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</si>
  <si>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</si>
  <si>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</si>
  <si>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</si>
  <si>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</si>
  <si>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</si>
  <si>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</si>
  <si>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</si>
  <si>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</si>
  <si>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</si>
  <si>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</si>
  <si>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</si>
  <si>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</si>
  <si>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</si>
  <si>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</si>
  <si>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</si>
  <si>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</si>
  <si>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</si>
  <si>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</si>
  <si>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</si>
  <si>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</si>
  <si>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</si>
  <si>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</si>
  <si>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</si>
  <si>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</si>
  <si>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</si>
  <si>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</si>
  <si>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</si>
  <si>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</si>
  <si>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</si>
  <si>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</si>
  <si>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</si>
  <si>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</si>
  <si>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</si>
  <si>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</si>
  <si>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</si>
  <si>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</si>
  <si>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</si>
  <si>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</si>
  <si>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</si>
  <si>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</si>
  <si>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</si>
  <si>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</si>
  <si>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</si>
  <si>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</si>
  <si>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</si>
  <si>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</si>
  <si>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</si>
  <si>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</si>
  <si>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</si>
  <si>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</si>
  <si>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</si>
  <si>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</si>
  <si>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</si>
  <si>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</si>
  <si>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</si>
  <si>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</si>
  <si>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</si>
  <si>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</si>
  <si>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</si>
  <si>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</si>
  <si>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</si>
  <si>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</si>
  <si>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</si>
  <si>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</si>
  <si>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</si>
  <si>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</si>
  <si>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</si>
  <si>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</si>
  <si>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</si>
  <si>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</si>
  <si>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</si>
  <si>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</si>
  <si>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</si>
  <si>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</si>
  <si>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</si>
  <si>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</si>
  <si>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</si>
  <si>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</si>
  <si>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</si>
  <si>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</si>
  <si>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E.5034708.01.01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</si>
  <si>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</si>
  <si>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</si>
  <si>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</si>
  <si>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</si>
  <si>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</si>
  <si>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</si>
  <si>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</si>
  <si>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</si>
  <si>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</si>
  <si>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</si>
  <si>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</si>
  <si>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77799999</t>
  </si>
  <si>
    <t>VARIOUS</t>
  </si>
  <si>
    <t>Line Removal</t>
  </si>
  <si>
    <t>35219542</t>
  </si>
  <si>
    <t>35219543</t>
  </si>
  <si>
    <t>PSPS - West Main St / Reservoir St</t>
  </si>
  <si>
    <t>OLETA 1101/MARTELL 1101</t>
  </si>
  <si>
    <t>CWSP - MARIPOSA 2102440236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</si>
  <si>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</si>
  <si>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</si>
  <si>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</si>
  <si>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</si>
  <si>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</si>
  <si>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</si>
  <si>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</si>
  <si>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</si>
  <si>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</si>
  <si>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</si>
  <si>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</si>
  <si>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</si>
  <si>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</si>
  <si>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</si>
  <si>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</si>
  <si>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</si>
  <si>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</si>
  <si>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</si>
  <si>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</si>
  <si>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</si>
  <si>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</si>
  <si>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</si>
  <si>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</si>
  <si>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</si>
  <si>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</si>
  <si>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</si>
  <si>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</si>
  <si>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</si>
  <si>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</si>
  <si>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</si>
  <si>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</si>
  <si>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</si>
  <si>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</si>
  <si>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</si>
  <si>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</si>
  <si>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</si>
  <si>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</si>
  <si>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</si>
  <si>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</si>
  <si>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</si>
  <si>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</si>
  <si>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</si>
  <si>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</si>
  <si>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</si>
  <si>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</si>
  <si>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</si>
  <si>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</si>
  <si>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</si>
  <si>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</si>
  <si>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</si>
  <si>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</si>
  <si>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</si>
  <si>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</si>
  <si>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</si>
  <si>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</si>
  <si>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</si>
  <si>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</si>
  <si>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</si>
  <si>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</si>
  <si>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</si>
  <si>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</si>
  <si>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</si>
  <si>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</si>
  <si>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</si>
  <si>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</si>
  <si>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</si>
  <si>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</si>
  <si>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</si>
  <si>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</si>
  <si>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</si>
  <si>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</si>
  <si>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</si>
  <si>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</si>
  <si>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</si>
  <si>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</si>
  <si>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</si>
  <si>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</si>
  <si>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</si>
  <si>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</si>
  <si>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</si>
  <si>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</si>
  <si>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</si>
  <si>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</si>
  <si>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</si>
  <si>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</si>
  <si>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</si>
  <si>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</si>
  <si>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</si>
  <si>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</si>
  <si>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</si>
  <si>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</si>
  <si>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</si>
  <si>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</si>
  <si>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</si>
  <si>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</si>
  <si>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</si>
  <si>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</si>
  <si>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</si>
  <si>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</si>
  <si>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</si>
  <si>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</si>
  <si>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</si>
  <si>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</si>
  <si>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</si>
  <si>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</si>
  <si>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</si>
  <si>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</si>
  <si>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</si>
  <si>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</si>
  <si>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</si>
  <si>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</si>
  <si>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</si>
  <si>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2. PM Created (UNSE)</t>
  </si>
  <si>
    <t>4. Preliminary Scope Review</t>
  </si>
  <si>
    <t>5. Return to Engineer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</si>
  <si>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</si>
  <si>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</si>
  <si>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</si>
  <si>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</si>
  <si>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</si>
  <si>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</si>
  <si>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</si>
  <si>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</si>
  <si>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</si>
  <si>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</si>
  <si>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</si>
  <si>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</si>
  <si>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</si>
  <si>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</si>
  <si>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</si>
  <si>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</si>
  <si>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</si>
  <si>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</si>
  <si>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</si>
  <si>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E.5034715.01.02</t>
  </si>
  <si>
    <t>CWSP - MIDDLETOWN 1103 LR 830 PH4</t>
  </si>
  <si>
    <t>CWSP - MIDDLETOWN 1103 LR 830 PH1</t>
  </si>
  <si>
    <t>E.5034741.01.01</t>
  </si>
  <si>
    <t>REMG - DUNLAP 1102778286</t>
  </si>
  <si>
    <t>REMG - PLACERVILLE 21061104</t>
  </si>
  <si>
    <t>REMG - MARIPOSA 210135244</t>
  </si>
  <si>
    <t>REMG - OAKHURST 110110090</t>
  </si>
  <si>
    <t>PSPS - Brunswick 1110CB</t>
  </si>
  <si>
    <t>PSPS - Bangor 1101CB</t>
  </si>
  <si>
    <t>PSPS - Calistoga 1102184814</t>
  </si>
  <si>
    <t>PSPS - Oleta 1101CB</t>
  </si>
  <si>
    <t>PSPS - Calistoga 1102634</t>
  </si>
  <si>
    <t>PSPS - Alleghany 1101VR816</t>
  </si>
  <si>
    <t>PSPS - Dunbar 1101CB</t>
  </si>
  <si>
    <t>PSPS - Mounatin Quarries 2101CB</t>
  </si>
  <si>
    <t>PSPS - Oakhurst 1101CB</t>
  </si>
  <si>
    <t>PSPS - Wyandotte 1109702710</t>
  </si>
  <si>
    <t>PSPS - Placerville 21067522</t>
  </si>
  <si>
    <t>PSPS - Eskaton Village</t>
  </si>
  <si>
    <t>FRRB - KANAKA 1101 LR1034</t>
  </si>
  <si>
    <t>SH - MIDDLETOWN 1102 LR 302610</t>
  </si>
  <si>
    <t>6. AA Submitted/Field Desktop Meeting Scheduled</t>
  </si>
  <si>
    <t>7. AA Approved/Field Desktop Meeting Scheduled</t>
  </si>
  <si>
    <t>8.  Field Desktop Meeting Complete</t>
  </si>
  <si>
    <t>35075103</t>
  </si>
  <si>
    <t>2020-87771</t>
  </si>
  <si>
    <t>2020-87776</t>
  </si>
  <si>
    <t>2020-87780</t>
  </si>
  <si>
    <t>2020-87782</t>
  </si>
  <si>
    <t>2020-87784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</si>
</sst>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.5"/>
      <color theme="1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8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0" fillId="0" borderId="0" xfId="0" applyNumberFormat="1" applyAlignment="1">
      <alignment horizontal="center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16" fillId="0" borderId="0" xfId="0" applyFont="1"/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  <xf numFmtId="0" fontId="9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16" fontId="0" fillId="0" borderId="0" xfId="0" applyNumberFormat="1"/>
    <xf numFmtId="0" fontId="0" fillId="15" borderId="0" xfId="0" applyFont="1" applyFill="1" applyAlignment="1">
      <alignment horizontal="center"/>
    </xf>
    <xf numFmtId="165" fontId="1" fillId="0" borderId="0" xfId="4" applyNumberFormat="1" applyFill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1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/edrs/pr/DisplayPR.asp?idEDR=1188367" TargetMode="External"/><Relationship Id="rId117" Type="http://schemas.openxmlformats.org/officeDocument/2006/relationships/hyperlink" Target="http://www/edrs/pr/DisplayPR.asp?idEDR=1144495" TargetMode="External"/><Relationship Id="rId21" Type="http://schemas.openxmlformats.org/officeDocument/2006/relationships/hyperlink" Target="http://www/edrs/pr/DisplayPR.asp?idEDR=1094074" TargetMode="External"/><Relationship Id="rId42" Type="http://schemas.openxmlformats.org/officeDocument/2006/relationships/hyperlink" Target="http://www/edrs/pr/DisplayPR.asp?idEDR=1121120" TargetMode="External"/><Relationship Id="rId47" Type="http://schemas.openxmlformats.org/officeDocument/2006/relationships/hyperlink" Target="http://www/edrs/pr/DisplayPR.asp?idEDR=1166495" TargetMode="External"/><Relationship Id="rId63" Type="http://schemas.openxmlformats.org/officeDocument/2006/relationships/hyperlink" Target="http://www/edrs/pr/DisplayPR.asp?idEDR=1094069" TargetMode="External"/><Relationship Id="rId68" Type="http://schemas.openxmlformats.org/officeDocument/2006/relationships/hyperlink" Target="http://www/edrs/pr/DisplayPR.asp?idEDR=1111470" TargetMode="External"/><Relationship Id="rId84" Type="http://schemas.openxmlformats.org/officeDocument/2006/relationships/hyperlink" Target="http://www/edrs/pr/DisplayPR.asp?idEDR=1094059" TargetMode="External"/><Relationship Id="rId89" Type="http://schemas.openxmlformats.org/officeDocument/2006/relationships/hyperlink" Target="http://www/edrs/pr/DisplayPR.asp?idEDR=1122485" TargetMode="External"/><Relationship Id="rId112" Type="http://schemas.openxmlformats.org/officeDocument/2006/relationships/hyperlink" Target="http://www/edrs/pr/DisplayPR.asp?idEDR=1201754" TargetMode="External"/><Relationship Id="rId133" Type="http://schemas.openxmlformats.org/officeDocument/2006/relationships/hyperlink" Target="http://www/edrs/pr/DisplayPR.asp?idEDR=1144134" TargetMode="External"/><Relationship Id="rId138" Type="http://schemas.openxmlformats.org/officeDocument/2006/relationships/hyperlink" Target="http://www/edrs/pr/DisplayPR.asp?idEDR=1169286" TargetMode="External"/><Relationship Id="rId154" Type="http://schemas.openxmlformats.org/officeDocument/2006/relationships/hyperlink" Target="http://www/edrs/pr/DisplayPR.asp?idEDR=1028045" TargetMode="External"/><Relationship Id="rId159" Type="http://schemas.openxmlformats.org/officeDocument/2006/relationships/hyperlink" Target="http://www/edrs/pr/DisplayPR.asp?idEDR=1206874" TargetMode="External"/><Relationship Id="rId175" Type="http://schemas.openxmlformats.org/officeDocument/2006/relationships/hyperlink" Target="http://www/edrs/pr/DisplayPR.asp?idEDR=1225191" TargetMode="External"/><Relationship Id="rId170" Type="http://schemas.openxmlformats.org/officeDocument/2006/relationships/hyperlink" Target="http://www/edrs/pr/DisplayPR.asp?idEDR=1222616" TargetMode="External"/><Relationship Id="rId191" Type="http://schemas.openxmlformats.org/officeDocument/2006/relationships/printerSettings" Target="../printerSettings/printerSettings1.bin"/><Relationship Id="rId16" Type="http://schemas.openxmlformats.org/officeDocument/2006/relationships/hyperlink" Target="http://www/edrs/pr/DisplayPRRef.asp?idEDR=1033800&amp;refDoc=2019-35897" TargetMode="External"/><Relationship Id="rId107" Type="http://schemas.openxmlformats.org/officeDocument/2006/relationships/hyperlink" Target="http://www.utility.pge.com/edrs/pr/DisplayPR.asp?idEDR=1043446" TargetMode="External"/><Relationship Id="rId11" Type="http://schemas.openxmlformats.org/officeDocument/2006/relationships/hyperlink" Target="http://www/edrs/pr/DisplayPR.asp?idEDR=1194328" TargetMode="External"/><Relationship Id="rId32" Type="http://schemas.openxmlformats.org/officeDocument/2006/relationships/hyperlink" Target="http://www/edrs/pr/DisplayPR.asp?idEDR=1147261" TargetMode="External"/><Relationship Id="rId37" Type="http://schemas.openxmlformats.org/officeDocument/2006/relationships/hyperlink" Target="http://www/edrs/pr/DisplayPRRef.asp?idEDR=1018937&amp;refDoc=2019-35904" TargetMode="External"/><Relationship Id="rId53" Type="http://schemas.openxmlformats.org/officeDocument/2006/relationships/hyperlink" Target="http://www/edrs/pr/DisplayPR.asp?idEDR=1131379" TargetMode="External"/><Relationship Id="rId58" Type="http://schemas.openxmlformats.org/officeDocument/2006/relationships/hyperlink" Target="http://www/edrs/pr/DisplayPRRef.asp?idEDR=1033800&amp;refDoc=2019-35897" TargetMode="External"/><Relationship Id="rId74" Type="http://schemas.openxmlformats.org/officeDocument/2006/relationships/hyperlink" Target="http://www.utility.pge.com/edrs/pr/DisplayPRRef.asp?idEDR=1043422&amp;refDoc=2019-32244" TargetMode="External"/><Relationship Id="rId79" Type="http://schemas.openxmlformats.org/officeDocument/2006/relationships/hyperlink" Target="http://www/edrs/pr/DisplayPRRef.asp?idEDR=1017777&amp;refDoc=2019-35887" TargetMode="External"/><Relationship Id="rId102" Type="http://schemas.openxmlformats.org/officeDocument/2006/relationships/hyperlink" Target="http://www/edrs/pr/DisplayPR.asp?idEDR=1168271" TargetMode="External"/><Relationship Id="rId123" Type="http://schemas.openxmlformats.org/officeDocument/2006/relationships/hyperlink" Target="http://www/edrs/pr/DisplayPR.asp?idEDR=1137321" TargetMode="External"/><Relationship Id="rId128" Type="http://schemas.openxmlformats.org/officeDocument/2006/relationships/hyperlink" Target="http://www/edrs/pr/DisplayPR.asp?idEDR=1137124" TargetMode="External"/><Relationship Id="rId144" Type="http://schemas.openxmlformats.org/officeDocument/2006/relationships/hyperlink" Target="http://www/edrs/pr/DisplayPR.asp?idEDR=1097532" TargetMode="External"/><Relationship Id="rId149" Type="http://schemas.openxmlformats.org/officeDocument/2006/relationships/hyperlink" Target="http://www/edrs/pr/DisplayPR.asp?idEDR=1218700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158910" TargetMode="External"/><Relationship Id="rId95" Type="http://schemas.openxmlformats.org/officeDocument/2006/relationships/hyperlink" Target="http://www/edrs/pr/DisplayPRRef.asp?idEDR=1019313&amp;refDoc=2019-35889" TargetMode="External"/><Relationship Id="rId160" Type="http://schemas.openxmlformats.org/officeDocument/2006/relationships/hyperlink" Target="http://www/edrs/pr/DisplayPR.asp?idEDR=1210217" TargetMode="External"/><Relationship Id="rId165" Type="http://schemas.openxmlformats.org/officeDocument/2006/relationships/hyperlink" Target="http://www/edrs/pr/DisplayPR.asp?idEDR=1222268" TargetMode="External"/><Relationship Id="rId181" Type="http://schemas.openxmlformats.org/officeDocument/2006/relationships/hyperlink" Target="http://www/edrs/pr/DisplayPR.asp?idEDR=1121855" TargetMode="External"/><Relationship Id="rId186" Type="http://schemas.openxmlformats.org/officeDocument/2006/relationships/hyperlink" Target="http://www/edrs/pr/DisplayPR.asp?idEDR=1228414" TargetMode="External"/><Relationship Id="rId22" Type="http://schemas.openxmlformats.org/officeDocument/2006/relationships/hyperlink" Target="http://www/edrs/pr/DisplayPR.asp?idEDR=1112318" TargetMode="External"/><Relationship Id="rId27" Type="http://schemas.openxmlformats.org/officeDocument/2006/relationships/hyperlink" Target="http://www/edrs/pr/DisplayPR.asp?idEDR=1123751" TargetMode="External"/><Relationship Id="rId43" Type="http://schemas.openxmlformats.org/officeDocument/2006/relationships/hyperlink" Target="http://www/edrs/pr/DisplayPR.asp?idEDR=1176943" TargetMode="External"/><Relationship Id="rId48" Type="http://schemas.openxmlformats.org/officeDocument/2006/relationships/hyperlink" Target="http://www/edrs/pr/DisplayPRRef.asp?idEDR=1008116&amp;refDoc=2019-35977" TargetMode="External"/><Relationship Id="rId64" Type="http://schemas.openxmlformats.org/officeDocument/2006/relationships/hyperlink" Target="http://www/edrs/pr/DisplayPR.asp?idEDR=1167933" TargetMode="External"/><Relationship Id="rId69" Type="http://schemas.openxmlformats.org/officeDocument/2006/relationships/hyperlink" Target="http://www.utility.pge.com/edrs/pr/DisplayPR.asp?idEDR=1184883" TargetMode="External"/><Relationship Id="rId113" Type="http://schemas.openxmlformats.org/officeDocument/2006/relationships/hyperlink" Target="http://www/edrs/pr/DisplayPR.asp?idEDR=990049" TargetMode="External"/><Relationship Id="rId118" Type="http://schemas.openxmlformats.org/officeDocument/2006/relationships/hyperlink" Target="http://www/edrs/pr/DisplayPR.asp?idEDR=1183181" TargetMode="External"/><Relationship Id="rId134" Type="http://schemas.openxmlformats.org/officeDocument/2006/relationships/hyperlink" Target="http://www/edrs/pr/DisplayPR.asp?idEDR=1137194" TargetMode="External"/><Relationship Id="rId139" Type="http://schemas.openxmlformats.org/officeDocument/2006/relationships/hyperlink" Target="http://www/edrs/pr/DisplayPR.asp?idEDR=1013801" TargetMode="External"/><Relationship Id="rId80" Type="http://schemas.openxmlformats.org/officeDocument/2006/relationships/hyperlink" Target="http://www/edrs/pr/DisplayPR.asp?idEDR=1094059" TargetMode="External"/><Relationship Id="rId85" Type="http://schemas.openxmlformats.org/officeDocument/2006/relationships/hyperlink" Target="http://www/edrs/pr/DisplayPR.asp?idEDR=1141486" TargetMode="External"/><Relationship Id="rId150" Type="http://schemas.openxmlformats.org/officeDocument/2006/relationships/hyperlink" Target="http://www/edrs/pr/DisplayPR.asp?idEDR=1218679" TargetMode="External"/><Relationship Id="rId155" Type="http://schemas.openxmlformats.org/officeDocument/2006/relationships/hyperlink" Target="http://www/edrs/pr/DisplayPR.asp?idEDR=1219400" TargetMode="External"/><Relationship Id="rId171" Type="http://schemas.openxmlformats.org/officeDocument/2006/relationships/hyperlink" Target="http://www/edrs/pr/DisplayPR.asp?idEDR=1027825" TargetMode="External"/><Relationship Id="rId176" Type="http://schemas.openxmlformats.org/officeDocument/2006/relationships/hyperlink" Target="http://www/edrs/pr/DisplayPR.asp?idEDR=1000610" TargetMode="External"/><Relationship Id="rId12" Type="http://schemas.openxmlformats.org/officeDocument/2006/relationships/hyperlink" Target="http://www/edrs/pr/DisplayPR.asp?idEDR=1194327" TargetMode="External"/><Relationship Id="rId17" Type="http://schemas.openxmlformats.org/officeDocument/2006/relationships/hyperlink" Target="http://www/edrs/pr/DisplayPR.asp?idEDR=1094069" TargetMode="External"/><Relationship Id="rId33" Type="http://schemas.openxmlformats.org/officeDocument/2006/relationships/hyperlink" Target="http://www/edrs/pr/DisplayPR.asp?idEDR=1187485" TargetMode="External"/><Relationship Id="rId38" Type="http://schemas.openxmlformats.org/officeDocument/2006/relationships/hyperlink" Target="http://www/edrs/pr/DisplayPR.asp?idEDR=1094076" TargetMode="External"/><Relationship Id="rId59" Type="http://schemas.openxmlformats.org/officeDocument/2006/relationships/hyperlink" Target="http://www/edrs/pr/DisplayPR.asp?idEDR=1094069" TargetMode="External"/><Relationship Id="rId103" Type="http://schemas.openxmlformats.org/officeDocument/2006/relationships/hyperlink" Target="http://www/edrs/pr/DisplayPR.asp?idEDR=1014080" TargetMode="External"/><Relationship Id="rId108" Type="http://schemas.openxmlformats.org/officeDocument/2006/relationships/hyperlink" Target="http://www/edrs/pr/DisplayPR.asp?idEDR=1183544" TargetMode="External"/><Relationship Id="rId124" Type="http://schemas.openxmlformats.org/officeDocument/2006/relationships/hyperlink" Target="http://www/edrs/pr/DisplayPR.asp?idEDR=1140553" TargetMode="External"/><Relationship Id="rId129" Type="http://schemas.openxmlformats.org/officeDocument/2006/relationships/hyperlink" Target="http://www/edrs/pr/DisplayPR.asp?idEDR=1137132" TargetMode="External"/><Relationship Id="rId54" Type="http://schemas.openxmlformats.org/officeDocument/2006/relationships/hyperlink" Target="http://www/edrs/pr/DisplayPR.asp?idEDR=1184309" TargetMode="External"/><Relationship Id="rId70" Type="http://schemas.openxmlformats.org/officeDocument/2006/relationships/hyperlink" Target="http://www/edrs/pr/DisplayPRRef.asp?idEDR=1041711&amp;refDoc=2019-35903" TargetMode="External"/><Relationship Id="rId75" Type="http://schemas.openxmlformats.org/officeDocument/2006/relationships/hyperlink" Target="http://www/edrs/pr/DisplayPR.asp?idEDR=1187038" TargetMode="External"/><Relationship Id="rId91" Type="http://schemas.openxmlformats.org/officeDocument/2006/relationships/hyperlink" Target="http://www/edrs/pr/DisplayPR.asp?idEDR=1030037" TargetMode="External"/><Relationship Id="rId96" Type="http://schemas.openxmlformats.org/officeDocument/2006/relationships/hyperlink" Target="http://www/edrs/pr/DisplayPR.asp?idEDR=1094061" TargetMode="External"/><Relationship Id="rId140" Type="http://schemas.openxmlformats.org/officeDocument/2006/relationships/hyperlink" Target="http://www/edrs/pr/DisplayPR.asp?idEDR=1092916" TargetMode="External"/><Relationship Id="rId145" Type="http://schemas.openxmlformats.org/officeDocument/2006/relationships/hyperlink" Target="http://www/edrs/pr/DisplayPR.asp?idEDR=1217520" TargetMode="External"/><Relationship Id="rId161" Type="http://schemas.openxmlformats.org/officeDocument/2006/relationships/hyperlink" Target="http://www/edrs/pr/DisplayPR.asp?idEDR=1222407" TargetMode="External"/><Relationship Id="rId166" Type="http://schemas.openxmlformats.org/officeDocument/2006/relationships/hyperlink" Target="http://www/edrs/pr/DisplayPR.asp?idEDR=1222249" TargetMode="External"/><Relationship Id="rId182" Type="http://schemas.openxmlformats.org/officeDocument/2006/relationships/hyperlink" Target="http://www/edrs/pr/DisplayPR.asp?idEDR=1167934" TargetMode="External"/><Relationship Id="rId187" Type="http://schemas.openxmlformats.org/officeDocument/2006/relationships/hyperlink" Target="http://www/edrs/pr/DisplayPR.asp?idEDR=1228419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3" Type="http://schemas.openxmlformats.org/officeDocument/2006/relationships/hyperlink" Target="http://www/edrs/pr/DisplayPR.asp?idEDR=1184485" TargetMode="External"/><Relationship Id="rId28" Type="http://schemas.openxmlformats.org/officeDocument/2006/relationships/hyperlink" Target="http://www.utility.pge.com/edrs/pr/DisplayPRRef.asp?idEDR=1043411&amp;refDoc=2019-32239" TargetMode="External"/><Relationship Id="rId49" Type="http://schemas.openxmlformats.org/officeDocument/2006/relationships/hyperlink" Target="http://www/edrs/pr/DisplayPR.asp?idEDR=1180011" TargetMode="External"/><Relationship Id="rId114" Type="http://schemas.openxmlformats.org/officeDocument/2006/relationships/hyperlink" Target="http://www.utility.pge.com/edrs/pr/DisplayPR.asp?idEDR=1011934" TargetMode="External"/><Relationship Id="rId119" Type="http://schemas.openxmlformats.org/officeDocument/2006/relationships/hyperlink" Target="http://www/edrs/pr/DisplayPR.asp?idEDR=1138843" TargetMode="External"/><Relationship Id="rId44" Type="http://schemas.openxmlformats.org/officeDocument/2006/relationships/hyperlink" Target="http://www/edrs/pr/DisplayPR.asp?idEDR=1015664" TargetMode="External"/><Relationship Id="rId60" Type="http://schemas.openxmlformats.org/officeDocument/2006/relationships/hyperlink" Target="http://www/edrs/pr/DisplayPR.asp?idEDR=1181065" TargetMode="External"/><Relationship Id="rId65" Type="http://schemas.openxmlformats.org/officeDocument/2006/relationships/hyperlink" Target="http://www/edrs/pr/DisplayPR.asp?idEDR=1196870" TargetMode="External"/><Relationship Id="rId81" Type="http://schemas.openxmlformats.org/officeDocument/2006/relationships/hyperlink" Target="http://www/edrs/pr/DisplayPR.asp?idEDR=1118390" TargetMode="External"/><Relationship Id="rId86" Type="http://schemas.openxmlformats.org/officeDocument/2006/relationships/hyperlink" Target="http://www/edrs/pr/DisplayPR.asp?idEDR=1189105" TargetMode="External"/><Relationship Id="rId130" Type="http://schemas.openxmlformats.org/officeDocument/2006/relationships/hyperlink" Target="http://www/edrs/pr/DisplayPR.asp?idEDR=1174199" TargetMode="External"/><Relationship Id="rId135" Type="http://schemas.openxmlformats.org/officeDocument/2006/relationships/hyperlink" Target="http://www/edrs/pr/DisplayPR.asp?idEDR=1171859" TargetMode="External"/><Relationship Id="rId151" Type="http://schemas.openxmlformats.org/officeDocument/2006/relationships/hyperlink" Target="http://www/edrs/pr/DisplayPR.asp?idEDR=1218925" TargetMode="External"/><Relationship Id="rId156" Type="http://schemas.openxmlformats.org/officeDocument/2006/relationships/hyperlink" Target="http://www/edrs/pr/DisplayPR.asp?idEDR=1218787" TargetMode="External"/><Relationship Id="rId177" Type="http://schemas.openxmlformats.org/officeDocument/2006/relationships/hyperlink" Target="http://www/edrs/pr/DisplayPR.asp?idEDR=1187466" TargetMode="External"/><Relationship Id="rId172" Type="http://schemas.openxmlformats.org/officeDocument/2006/relationships/hyperlink" Target="http://www/edrs/pr/DisplayPR.asp?idEDR=1093543" TargetMode="External"/><Relationship Id="rId13" Type="http://schemas.openxmlformats.org/officeDocument/2006/relationships/hyperlink" Target="http://www/edrs/pr/DisplayPR.asp?idEDR=1031304" TargetMode="External"/><Relationship Id="rId18" Type="http://schemas.openxmlformats.org/officeDocument/2006/relationships/hyperlink" Target="http://www/edrs/pr/DisplayPR.asp?idEDR=1110824" TargetMode="External"/><Relationship Id="rId39" Type="http://schemas.openxmlformats.org/officeDocument/2006/relationships/hyperlink" Target="http://www/edrs/pr/DisplayPR.asp?idEDR=1122550" TargetMode="External"/><Relationship Id="rId109" Type="http://schemas.openxmlformats.org/officeDocument/2006/relationships/hyperlink" Target="http://www/edrs/pr/DisplayPR.asp?idEDR=1173147" TargetMode="External"/><Relationship Id="rId34" Type="http://schemas.openxmlformats.org/officeDocument/2006/relationships/hyperlink" Target="http://www/edrs/pr/DisplayPR.asp?idEDR=1145145" TargetMode="External"/><Relationship Id="rId50" Type="http://schemas.openxmlformats.org/officeDocument/2006/relationships/hyperlink" Target="http://www/edrs/pr/DisplayPR.asp?idEDR=1161218" TargetMode="External"/><Relationship Id="rId55" Type="http://schemas.openxmlformats.org/officeDocument/2006/relationships/hyperlink" Target="http://www/edrs/pr/DisplayPRRef.asp?idEDR=1022911&amp;refDoc=2020-02712" TargetMode="External"/><Relationship Id="rId76" Type="http://schemas.openxmlformats.org/officeDocument/2006/relationships/hyperlink" Target="http://www/edrs/pr/DisplayPR.asp?idEDR=1164021" TargetMode="External"/><Relationship Id="rId97" Type="http://schemas.openxmlformats.org/officeDocument/2006/relationships/hyperlink" Target="http://www/edrs/pr/DisplayPR.asp?idEDR=1152484" TargetMode="External"/><Relationship Id="rId104" Type="http://schemas.openxmlformats.org/officeDocument/2006/relationships/hyperlink" Target="http://www/edrs/pr/DisplayPR.asp?idEDR=1094072" TargetMode="External"/><Relationship Id="rId120" Type="http://schemas.openxmlformats.org/officeDocument/2006/relationships/hyperlink" Target="http://www/edrs/pr/DisplayPR.asp?idEDR=1179183" TargetMode="External"/><Relationship Id="rId125" Type="http://schemas.openxmlformats.org/officeDocument/2006/relationships/hyperlink" Target="http://www/edrs/pr/DisplayPR.asp?idEDR=1188875" TargetMode="External"/><Relationship Id="rId141" Type="http://schemas.openxmlformats.org/officeDocument/2006/relationships/hyperlink" Target="http://www/edrs/pr/DisplayPR.asp?idEDR=1060520" TargetMode="External"/><Relationship Id="rId146" Type="http://schemas.openxmlformats.org/officeDocument/2006/relationships/hyperlink" Target="http://www/edrs/pr/DisplayPR.asp?idEDR=1217956" TargetMode="External"/><Relationship Id="rId167" Type="http://schemas.openxmlformats.org/officeDocument/2006/relationships/hyperlink" Target="http://www/edrs/pr/DisplayPR.asp?idEDR=1223382" TargetMode="External"/><Relationship Id="rId188" Type="http://schemas.openxmlformats.org/officeDocument/2006/relationships/hyperlink" Target="http://www/edrs/pr/DisplayPR.asp?idEDR=1228423" TargetMode="External"/><Relationship Id="rId7" Type="http://schemas.openxmlformats.org/officeDocument/2006/relationships/hyperlink" Target="http://www/edrs/pr/DisplayPR.asp?idEDR=1043203" TargetMode="External"/><Relationship Id="rId71" Type="http://schemas.openxmlformats.org/officeDocument/2006/relationships/hyperlink" Target="http://www/edrs/pr/DisplayPR.asp?idEDR=1094075" TargetMode="External"/><Relationship Id="rId92" Type="http://schemas.openxmlformats.org/officeDocument/2006/relationships/hyperlink" Target="http://www/edrs/pr/DisplayPR.asp?idEDR=1094065" TargetMode="External"/><Relationship Id="rId162" Type="http://schemas.openxmlformats.org/officeDocument/2006/relationships/hyperlink" Target="http://www/edrs/pr/DisplayPR.asp?idEDR=1222400" TargetMode="External"/><Relationship Id="rId183" Type="http://schemas.openxmlformats.org/officeDocument/2006/relationships/hyperlink" Target="http://www/edrs/pr/DisplayPRRef.asp?idEDR=1010763&amp;refDoc=2019-35971" TargetMode="External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44534" TargetMode="External"/><Relationship Id="rId24" Type="http://schemas.openxmlformats.org/officeDocument/2006/relationships/hyperlink" Target="http://www/edrs/pr/DisplayPRRef.asp?idEDR=1041711&amp;refDoc=2019-35903" TargetMode="External"/><Relationship Id="rId40" Type="http://schemas.openxmlformats.org/officeDocument/2006/relationships/hyperlink" Target="http://www/edrs/pr/DisplayPR.asp?idEDR=1186278" TargetMode="External"/><Relationship Id="rId45" Type="http://schemas.openxmlformats.org/officeDocument/2006/relationships/hyperlink" Target="http://www/edrs/pr/DisplayPR.asp?idEDR=1086933" TargetMode="External"/><Relationship Id="rId66" Type="http://schemas.openxmlformats.org/officeDocument/2006/relationships/hyperlink" Target="http://www/edrs/pr/DisplayPRRef.asp?idEDR=1041711&amp;refDoc=2019-35903" TargetMode="External"/><Relationship Id="rId87" Type="http://schemas.openxmlformats.org/officeDocument/2006/relationships/hyperlink" Target="http://www/edrs/pr/DisplayPR.asp?idEDR=1030037" TargetMode="External"/><Relationship Id="rId110" Type="http://schemas.openxmlformats.org/officeDocument/2006/relationships/hyperlink" Target="http://www/edrs/pr/DisplayPR.asp?idEDR=1134525" TargetMode="External"/><Relationship Id="rId115" Type="http://schemas.openxmlformats.org/officeDocument/2006/relationships/hyperlink" Target="http://www/edrs/pr/DisplayPR.asp?idEDR=1136951" TargetMode="External"/><Relationship Id="rId131" Type="http://schemas.openxmlformats.org/officeDocument/2006/relationships/hyperlink" Target="http://www/edrs/pr/DisplayPR.asp?idEDR=1147914" TargetMode="External"/><Relationship Id="rId136" Type="http://schemas.openxmlformats.org/officeDocument/2006/relationships/hyperlink" Target="http://www/edrs/pr/DisplayPR.asp?idEDR=1140554" TargetMode="External"/><Relationship Id="rId157" Type="http://schemas.openxmlformats.org/officeDocument/2006/relationships/hyperlink" Target="http://www/edrs/pr/DisplayPR.asp?idEDR=1217420" TargetMode="External"/><Relationship Id="rId178" Type="http://schemas.openxmlformats.org/officeDocument/2006/relationships/hyperlink" Target="http://www/edrs/pr/DisplayPR.asp?idEDR=1195550" TargetMode="External"/><Relationship Id="rId61" Type="http://schemas.openxmlformats.org/officeDocument/2006/relationships/hyperlink" Target="http://www/edrs/pr/DisplayPR.asp?idEDR=1137663" TargetMode="External"/><Relationship Id="rId82" Type="http://schemas.openxmlformats.org/officeDocument/2006/relationships/hyperlink" Target="http://www/edrs/pr/DisplayPR.asp?idEDR=1166218" TargetMode="External"/><Relationship Id="rId152" Type="http://schemas.openxmlformats.org/officeDocument/2006/relationships/hyperlink" Target="http://www/edrs/pr/DisplayPR.asp?idEDR=1218748" TargetMode="External"/><Relationship Id="rId173" Type="http://schemas.openxmlformats.org/officeDocument/2006/relationships/hyperlink" Target="http://www/edrs/pr/DisplayPR.asp?idEDR=1092537" TargetMode="External"/><Relationship Id="rId19" Type="http://schemas.openxmlformats.org/officeDocument/2006/relationships/hyperlink" Target="http://www/edrs/pr/DisplayPR.asp?idEDR=1187441" TargetMode="External"/><Relationship Id="rId14" Type="http://schemas.openxmlformats.org/officeDocument/2006/relationships/hyperlink" Target="http://www/edrs/pr/DisplayPR.asp?idEDR=996628" TargetMode="External"/><Relationship Id="rId30" Type="http://schemas.openxmlformats.org/officeDocument/2006/relationships/hyperlink" Target="http://www/edrs/pr/DisplayPR.asp?idEDR=1171334" TargetMode="External"/><Relationship Id="rId35" Type="http://schemas.openxmlformats.org/officeDocument/2006/relationships/hyperlink" Target="http://www/edrs/pr/DisplayPR.asp?idEDR=1043422" TargetMode="External"/><Relationship Id="rId56" Type="http://schemas.openxmlformats.org/officeDocument/2006/relationships/hyperlink" Target="http://www/edrs/pr/DisplayPR.asp?idEDR=1140525" TargetMode="External"/><Relationship Id="rId77" Type="http://schemas.openxmlformats.org/officeDocument/2006/relationships/hyperlink" Target="http://www/edrs/pr/DisplayPR.asp?idEDR=1179223" TargetMode="External"/><Relationship Id="rId100" Type="http://schemas.openxmlformats.org/officeDocument/2006/relationships/hyperlink" Target="http://www/edrs/pr/DisplayPR.asp?idEDR=1094061" TargetMode="External"/><Relationship Id="rId105" Type="http://schemas.openxmlformats.org/officeDocument/2006/relationships/hyperlink" Target="http://www.utility.pge.com/edrs/pr/DisplayPR.asp?idEDR=1159014" TargetMode="External"/><Relationship Id="rId126" Type="http://schemas.openxmlformats.org/officeDocument/2006/relationships/hyperlink" Target="http://www/edrs/pr/DisplayPR.asp?idEDR=1137049" TargetMode="External"/><Relationship Id="rId147" Type="http://schemas.openxmlformats.org/officeDocument/2006/relationships/hyperlink" Target="http://www/edrs/pr/DisplayPR.asp?idEDR=1218213" TargetMode="External"/><Relationship Id="rId168" Type="http://schemas.openxmlformats.org/officeDocument/2006/relationships/hyperlink" Target="http://www/edrs/pr/DisplayPR.asp?idEDR=1222184" TargetMode="External"/><Relationship Id="rId8" Type="http://schemas.openxmlformats.org/officeDocument/2006/relationships/hyperlink" Target="http://www/edrs/pr/DisplayPR.asp?idEDR=1192419" TargetMode="External"/><Relationship Id="rId51" Type="http://schemas.openxmlformats.org/officeDocument/2006/relationships/hyperlink" Target="http://www/edrs/pr/DisplayPRRef.asp?idEDR=1013028&amp;refDoc=2019-35972" TargetMode="External"/><Relationship Id="rId72" Type="http://schemas.openxmlformats.org/officeDocument/2006/relationships/hyperlink" Target="http://www/edrs/pr/DisplayPR.asp?idEDR=1126922" TargetMode="External"/><Relationship Id="rId93" Type="http://schemas.openxmlformats.org/officeDocument/2006/relationships/hyperlink" Target="http://www/edrs/pr/DisplayPR.asp?idEDR=1115949" TargetMode="External"/><Relationship Id="rId98" Type="http://schemas.openxmlformats.org/officeDocument/2006/relationships/hyperlink" Target="http://www/edrs/pr/DisplayPR.asp?idEDR=1175358" TargetMode="External"/><Relationship Id="rId121" Type="http://schemas.openxmlformats.org/officeDocument/2006/relationships/hyperlink" Target="http://www/edrs/pr/DisplayPR.asp?idEDR=1138775" TargetMode="External"/><Relationship Id="rId142" Type="http://schemas.openxmlformats.org/officeDocument/2006/relationships/hyperlink" Target="http://www/edrs/pr/DisplayPR.asp?idEDR=1137214" TargetMode="External"/><Relationship Id="rId163" Type="http://schemas.openxmlformats.org/officeDocument/2006/relationships/hyperlink" Target="http://www/edrs/pr/DisplayPR.asp?idEDR=1221762" TargetMode="External"/><Relationship Id="rId184" Type="http://schemas.openxmlformats.org/officeDocument/2006/relationships/hyperlink" Target="http://www/edrs/pr/DisplayPR.asp?idEDR=1094143" TargetMode="External"/><Relationship Id="rId189" Type="http://schemas.openxmlformats.org/officeDocument/2006/relationships/hyperlink" Target="http://www/edrs/pr/DisplayPR.asp?idEDR=1228425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094075" TargetMode="External"/><Relationship Id="rId46" Type="http://schemas.openxmlformats.org/officeDocument/2006/relationships/hyperlink" Target="http://www/edrs/pr/DisplayPR.asp?idEDR=1097546" TargetMode="External"/><Relationship Id="rId67" Type="http://schemas.openxmlformats.org/officeDocument/2006/relationships/hyperlink" Target="http://www/edrs/pr/DisplayPR.asp?idEDR=1094075" TargetMode="External"/><Relationship Id="rId116" Type="http://schemas.openxmlformats.org/officeDocument/2006/relationships/hyperlink" Target="http://www/edrs/pr/DisplayPR.asp?idEDR=1164583" TargetMode="External"/><Relationship Id="rId137" Type="http://schemas.openxmlformats.org/officeDocument/2006/relationships/hyperlink" Target="http://www/edrs/pr/DisplayPR.asp?idEDR=1191285" TargetMode="External"/><Relationship Id="rId158" Type="http://schemas.openxmlformats.org/officeDocument/2006/relationships/hyperlink" Target="http://www/edrs/pr/DisplayPR.asp?idEDR=1217416" TargetMode="External"/><Relationship Id="rId20" Type="http://schemas.openxmlformats.org/officeDocument/2006/relationships/hyperlink" Target="http://www/edrs/pr/DisplayPR.asp?idEDR=1021522" TargetMode="External"/><Relationship Id="rId41" Type="http://schemas.openxmlformats.org/officeDocument/2006/relationships/hyperlink" Target="http://www/edrs/pr/DisplayPR.asp?idEDR=1008603" TargetMode="External"/><Relationship Id="rId62" Type="http://schemas.openxmlformats.org/officeDocument/2006/relationships/hyperlink" Target="http://www/edrs/pr/DisplayPRRef.asp?idEDR=1033800&amp;refDoc=2019-35897" TargetMode="External"/><Relationship Id="rId83" Type="http://schemas.openxmlformats.org/officeDocument/2006/relationships/hyperlink" Target="http://www/edrs/pr/DisplayPRRef.asp?idEDR=1017777&amp;refDoc=2019-35887" TargetMode="External"/><Relationship Id="rId88" Type="http://schemas.openxmlformats.org/officeDocument/2006/relationships/hyperlink" Target="http://www/edrs/pr/DisplayPR.asp?idEDR=1094065" TargetMode="External"/><Relationship Id="rId111" Type="http://schemas.openxmlformats.org/officeDocument/2006/relationships/hyperlink" Target="http://www/edrs/pr/DisplayPR.asp?idEDR=1201761" TargetMode="External"/><Relationship Id="rId132" Type="http://schemas.openxmlformats.org/officeDocument/2006/relationships/hyperlink" Target="http://www/edrs/pr/DisplayPR.asp?idEDR=1186444" TargetMode="External"/><Relationship Id="rId153" Type="http://schemas.openxmlformats.org/officeDocument/2006/relationships/hyperlink" Target="http://www/edrs/pr/DisplayPR.asp?idEDR=1193821" TargetMode="External"/><Relationship Id="rId174" Type="http://schemas.openxmlformats.org/officeDocument/2006/relationships/hyperlink" Target="http://www/edrs/pr/DisplayPR.asp?idEDR=1224442" TargetMode="External"/><Relationship Id="rId179" Type="http://schemas.openxmlformats.org/officeDocument/2006/relationships/hyperlink" Target="http://www/edrs/pr/DisplayPRRef.asp?idEDR=1017777&amp;refDoc=2019-35887" TargetMode="External"/><Relationship Id="rId190" Type="http://schemas.openxmlformats.org/officeDocument/2006/relationships/hyperlink" Target="http://www/edrs/pr/DisplayPR.asp?idEDR=1228427" TargetMode="External"/><Relationship Id="rId15" Type="http://schemas.openxmlformats.org/officeDocument/2006/relationships/hyperlink" Target="http://www/edrs/pr/DisplayPR.asp?idEDR=1078797" TargetMode="External"/><Relationship Id="rId36" Type="http://schemas.openxmlformats.org/officeDocument/2006/relationships/hyperlink" Target="http://www/edrs/pr/DisplayPR.asp?idEDR=1134520" TargetMode="External"/><Relationship Id="rId57" Type="http://schemas.openxmlformats.org/officeDocument/2006/relationships/hyperlink" Target="http://www/edrs/pr/DisplayPR.asp?idEDR=1174932" TargetMode="External"/><Relationship Id="rId106" Type="http://schemas.openxmlformats.org/officeDocument/2006/relationships/hyperlink" Target="http://www/edrs/pr/DisplayPR.asp?idEDR=1186446" TargetMode="External"/><Relationship Id="rId127" Type="http://schemas.openxmlformats.org/officeDocument/2006/relationships/hyperlink" Target="http://www/edrs/pr/DisplayPR.asp?idEDR=1159397" TargetMode="External"/><Relationship Id="rId10" Type="http://schemas.openxmlformats.org/officeDocument/2006/relationships/hyperlink" Target="http://www/edrs/pr/DisplayPR.asp?idEDR=1194274" TargetMode="External"/><Relationship Id="rId31" Type="http://schemas.openxmlformats.org/officeDocument/2006/relationships/hyperlink" Target="http://www/edrs/pr/DisplayPR.asp?idEDR=1134517" TargetMode="External"/><Relationship Id="rId52" Type="http://schemas.openxmlformats.org/officeDocument/2006/relationships/hyperlink" Target="http://www/edrs/pr/DisplayPR.asp?idEDR=1094144" TargetMode="External"/><Relationship Id="rId73" Type="http://schemas.openxmlformats.org/officeDocument/2006/relationships/hyperlink" Target="http://www/edrs/pr/DisplayPR.asp?idEDR=1175217" TargetMode="External"/><Relationship Id="rId78" Type="http://schemas.openxmlformats.org/officeDocument/2006/relationships/hyperlink" Target="http://www/edrs/pr/DisplayPR.asp?idEDR=1134520" TargetMode="External"/><Relationship Id="rId94" Type="http://schemas.openxmlformats.org/officeDocument/2006/relationships/hyperlink" Target="http://www/edrs/pr/DisplayPR.asp?idEDR=1184874" TargetMode="External"/><Relationship Id="rId99" Type="http://schemas.openxmlformats.org/officeDocument/2006/relationships/hyperlink" Target="http://www/edrs/pr/DisplayPRRef.asp?idEDR=1019313&amp;refDoc=2019-35889" TargetMode="External"/><Relationship Id="rId101" Type="http://schemas.openxmlformats.org/officeDocument/2006/relationships/hyperlink" Target="http://www/edrs/pr/DisplayPR.asp?idEDR=1115908" TargetMode="External"/><Relationship Id="rId122" Type="http://schemas.openxmlformats.org/officeDocument/2006/relationships/hyperlink" Target="http://www/edrs/pr/DisplayPR.asp?idEDR=1183276" TargetMode="External"/><Relationship Id="rId143" Type="http://schemas.openxmlformats.org/officeDocument/2006/relationships/hyperlink" Target="http://www/edrs/pr/DisplayPR.asp?idEDR=1191717" TargetMode="External"/><Relationship Id="rId148" Type="http://schemas.openxmlformats.org/officeDocument/2006/relationships/hyperlink" Target="http://www/edrs/pr/DisplayPR.asp?idEDR=1218212" TargetMode="External"/><Relationship Id="rId164" Type="http://schemas.openxmlformats.org/officeDocument/2006/relationships/hyperlink" Target="http://www/edrs/pr/DisplayPR.asp?idEDR=1221830" TargetMode="External"/><Relationship Id="rId169" Type="http://schemas.openxmlformats.org/officeDocument/2006/relationships/hyperlink" Target="http://www/edrs/pr/DisplayPR.asp?idEDR=1222632" TargetMode="External"/><Relationship Id="rId185" Type="http://schemas.openxmlformats.org/officeDocument/2006/relationships/hyperlink" Target="http://www/edrs/pr/DisplayPR.asp?idEDR=1183592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2237" TargetMode="External"/><Relationship Id="rId180" Type="http://schemas.openxmlformats.org/officeDocument/2006/relationships/hyperlink" Target="http://www/edrs/pr/DisplayPR.asp?idEDR=109405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I25"/>
  <sheetViews>
    <sheetView workbookViewId="0">
      <selection activeCell="M15" sqref="M15"/>
    </sheetView>
  </sheetViews>
  <sheetFormatPr defaultRowHeight="15" x14ac:dyDescent="0.25"/>
  <cols>
    <col min="1" max="1" width="5.140625" style="65" customWidth="1"/>
    <col min="2" max="2" width="47.140625" bestFit="1" customWidth="1"/>
    <col min="3" max="4" width="18.7109375" customWidth="1"/>
    <col min="5" max="5" width="3.28515625" style="65" customWidth="1"/>
    <col min="6" max="9" width="14.7109375" customWidth="1"/>
  </cols>
  <sheetData>
    <row r="1" spans="2:9" ht="15.75" thickBot="1" x14ac:dyDescent="0.3"/>
    <row r="2" spans="2:9" ht="15.75" thickBot="1" x14ac:dyDescent="0.3">
      <c r="B2" s="114"/>
      <c r="C2" s="128">
        <v>2021</v>
      </c>
      <c r="D2" s="129"/>
    </row>
    <row r="3" spans="2:9" ht="15.75" thickBot="1" x14ac:dyDescent="0.3">
      <c r="B3" s="115" t="s">
        <v>4813</v>
      </c>
      <c r="C3" s="123" t="s">
        <v>5580</v>
      </c>
      <c r="D3" s="124" t="s">
        <v>5581</v>
      </c>
    </row>
    <row r="4" spans="2:9" ht="15.75" thickBot="1" x14ac:dyDescent="0.3">
      <c r="B4" s="113" t="s">
        <v>5582</v>
      </c>
      <c r="C4" s="117">
        <f>SUMIF('Project List'!$C$56:$C$178,"0",'Project List'!$G$56:$G$178)</f>
        <v>32.368181818181817</v>
      </c>
      <c r="D4" s="119">
        <f>COUNTIF('Project List'!$C$56:$C$178,"0")</f>
        <v>2</v>
      </c>
    </row>
    <row r="5" spans="2:9" ht="15.75" thickBot="1" x14ac:dyDescent="0.3">
      <c r="B5" s="116" t="s">
        <v>5583</v>
      </c>
      <c r="C5" s="118">
        <f>SUMIF('Project List'!$C$56:$C$178,"1",'Project List'!$G$56:$G$178)</f>
        <v>14.422424242424242</v>
      </c>
      <c r="D5" s="120">
        <f>COUNTIF('Project List'!$C$56:$C$178,"1")</f>
        <v>12</v>
      </c>
    </row>
    <row r="6" spans="2:9" ht="15.75" thickBot="1" x14ac:dyDescent="0.3">
      <c r="B6" s="112" t="s">
        <v>5585</v>
      </c>
      <c r="C6" s="117">
        <f>SUMIF('Project List'!$C$56:$C$178,"2",'Project List'!$G$56:$G$178)</f>
        <v>161.39884848484849</v>
      </c>
      <c r="D6" s="119">
        <f>COUNTIF('Project List'!$C$56:$C$178,"2")</f>
        <v>26</v>
      </c>
    </row>
    <row r="7" spans="2:9" ht="15.75" thickBot="1" x14ac:dyDescent="0.3">
      <c r="B7" s="116" t="s">
        <v>5584</v>
      </c>
      <c r="C7" s="118">
        <f>SUMIF('Project List'!$C$56:$C$178,"3",'Project List'!$G$56:$G$178)</f>
        <v>8.35</v>
      </c>
      <c r="D7" s="120">
        <f>COUNTIF('Project List'!$C$56:$C$178,"3")</f>
        <v>6</v>
      </c>
    </row>
    <row r="8" spans="2:9" ht="15.75" thickBot="1" x14ac:dyDescent="0.3">
      <c r="B8" s="112" t="s">
        <v>5586</v>
      </c>
      <c r="C8" s="117">
        <f>SUMIF('Project List'!$C$56:$C$178,"4",'Project List'!$G$56:$G$178)</f>
        <v>28.69</v>
      </c>
      <c r="D8" s="119">
        <f>COUNTIF('Project List'!$C$56:$C$178,"4")</f>
        <v>4</v>
      </c>
    </row>
    <row r="9" spans="2:9" ht="15.75" thickBot="1" x14ac:dyDescent="0.3">
      <c r="B9" s="116" t="s">
        <v>5587</v>
      </c>
      <c r="C9" s="118">
        <f>SUMIF('Project List'!$C$56:$C$178,"5",'Project List'!$G$56:$G$178)</f>
        <v>7.1734090909090913</v>
      </c>
      <c r="D9" s="120">
        <f>COUNTIF('Project List'!$C$56:$C$178,"5")</f>
        <v>3</v>
      </c>
    </row>
    <row r="10" spans="2:9" ht="15.75" thickBot="1" x14ac:dyDescent="0.3">
      <c r="B10" s="112" t="s">
        <v>5629</v>
      </c>
      <c r="C10" s="117">
        <f>SUMIF('Project List'!$C$56:$C$178,"6",'Project List'!$G$56:$G$178)</f>
        <v>33.400000000000006</v>
      </c>
      <c r="D10" s="119">
        <f>COUNTIF('Project List'!$C$56:$C$178,"6")</f>
        <v>9</v>
      </c>
    </row>
    <row r="11" spans="2:9" ht="15.75" thickBot="1" x14ac:dyDescent="0.3">
      <c r="B11" s="116" t="s">
        <v>5630</v>
      </c>
      <c r="C11" s="118">
        <f>SUMIF('Project List'!$C$56:$C$178,"7",'Project List'!$G$56:$G$178)</f>
        <v>62.082000000000001</v>
      </c>
      <c r="D11" s="120">
        <f>COUNTIF('Project List'!$C$56:$C$178,"7")</f>
        <v>11</v>
      </c>
    </row>
    <row r="12" spans="2:9" s="65" customFormat="1" ht="15.75" thickBot="1" x14ac:dyDescent="0.3">
      <c r="B12" s="112" t="s">
        <v>5631</v>
      </c>
      <c r="C12" s="117">
        <f>SUMIF('Project List'!$C$56:$C$178,"8",'Project List'!$G$56:$G$178)</f>
        <v>0</v>
      </c>
      <c r="D12" s="119">
        <f>COUNTIF('Project List'!$C$56:$C$178,"8")</f>
        <v>0</v>
      </c>
    </row>
    <row r="13" spans="2:9" s="65" customFormat="1" ht="15.75" thickBot="1" x14ac:dyDescent="0.3">
      <c r="B13" s="116" t="s">
        <v>5600</v>
      </c>
      <c r="C13" s="118">
        <f>SUMIF('Project List'!$C$56:$C$178,"9",'Project List'!$G$56:$G$178)</f>
        <v>52.79</v>
      </c>
      <c r="D13" s="120">
        <f>COUNTIF('Project List'!$C$56:$C$178,"9")</f>
        <v>11</v>
      </c>
    </row>
    <row r="14" spans="2:9" ht="15.75" thickBot="1" x14ac:dyDescent="0.3">
      <c r="B14" s="112" t="s">
        <v>5588</v>
      </c>
      <c r="C14" s="117">
        <f>SUMIF('Project List'!$C$56:$C$178,"10",'Project List'!$G$56:$G$178)</f>
        <v>0.7</v>
      </c>
      <c r="D14" s="119">
        <f>COUNTIF('Project List'!$C$56:$C$178,"10")</f>
        <v>1</v>
      </c>
    </row>
    <row r="15" spans="2:9" ht="15.75" thickBot="1" x14ac:dyDescent="0.3">
      <c r="B15" s="116" t="s">
        <v>5589</v>
      </c>
      <c r="C15" s="118">
        <f>SUMIF('Project List'!$C$56:$C$178,"11",'Project List'!$G$56:$G$178)</f>
        <v>0</v>
      </c>
      <c r="D15" s="120">
        <f>COUNTIF('Project List'!$C$56:$C$178,"11")</f>
        <v>0</v>
      </c>
    </row>
    <row r="16" spans="2:9" ht="15.75" thickBot="1" x14ac:dyDescent="0.3">
      <c r="B16" s="112" t="s">
        <v>5590</v>
      </c>
      <c r="C16" s="117">
        <f>SUMIF('Project List'!$C$56:$C$178,"12",'Project List'!$G$56:$G$178)</f>
        <v>0</v>
      </c>
      <c r="D16" s="119">
        <f>COUNTIF('Project List'!$C$56:$C$178,"12")</f>
        <v>0</v>
      </c>
      <c r="F16" s="130" t="s">
        <v>5602</v>
      </c>
      <c r="G16" s="131"/>
      <c r="H16" s="131"/>
      <c r="I16" s="132"/>
    </row>
    <row r="17" spans="2:9" ht="15.75" thickBot="1" x14ac:dyDescent="0.3">
      <c r="B17" s="116" t="s">
        <v>5591</v>
      </c>
      <c r="C17" s="118">
        <f>SUMIF('Project List'!$C$56:$C$178,"13",'Project List'!$G$56:$G$178)</f>
        <v>0</v>
      </c>
      <c r="D17" s="120">
        <f>COUNTIF('Project List'!$C$56:$C$178,"13")</f>
        <v>0</v>
      </c>
      <c r="F17" s="125" t="s">
        <v>5605</v>
      </c>
      <c r="G17" s="125" t="s">
        <v>5604</v>
      </c>
      <c r="H17" s="125" t="s">
        <v>5603</v>
      </c>
      <c r="I17" s="125" t="s">
        <v>4846</v>
      </c>
    </row>
    <row r="18" spans="2:9" ht="15.75" thickBot="1" x14ac:dyDescent="0.3">
      <c r="B18" s="112" t="s">
        <v>5592</v>
      </c>
      <c r="C18" s="117">
        <f>SUMIF('Project List'!$C$56:$C$178,"14",'Project List'!$G$56:$G$178)</f>
        <v>2.88</v>
      </c>
      <c r="D18" s="119">
        <f>COUNTIF('Project List'!$C$56:$C$178,"14")</f>
        <v>3</v>
      </c>
      <c r="F18" s="117">
        <f>(SUMIF('Project List'!$C$56:$C$178,"14",'Project List'!$AJ$56:$AJ$178))/5280</f>
        <v>2.8840909090909093</v>
      </c>
      <c r="G18" s="117">
        <f>(SUMIF('Project List'!$C$56:$C$178,"14",'Project List'!$AK$56:$AK$178))/5280</f>
        <v>0</v>
      </c>
      <c r="H18" s="117">
        <f>(SUMIF('Project List'!$C$56:$C$178,"14",'Project List'!$AL$56:$AL$178))/5280</f>
        <v>0</v>
      </c>
      <c r="I18" s="117">
        <f>(SUMIF('Project List'!$C$56:$C$178,"14",'Project List'!$AM$56:$AM$178))/5280</f>
        <v>0</v>
      </c>
    </row>
    <row r="19" spans="2:9" s="65" customFormat="1" ht="15.75" thickBot="1" x14ac:dyDescent="0.3">
      <c r="B19" s="116" t="s">
        <v>5593</v>
      </c>
      <c r="C19" s="118">
        <f>SUMIF('Project List'!$C$56:$C$178,"15",'Project List'!$G$56:$G$178)</f>
        <v>0</v>
      </c>
      <c r="D19" s="120">
        <f>COUNTIF('Project List'!$C$56:$C$178,"15")</f>
        <v>0</v>
      </c>
      <c r="F19" s="118">
        <f>(SUMIF('Project List'!$C$56:$C$178,"15",'Project List'!$AJ$56:$AJ$178))/5280</f>
        <v>0</v>
      </c>
      <c r="G19" s="118">
        <f>(SUMIF('Project List'!$C$56:$C$178,"15",'Project List'!$AK$56:$AK$178))/5280</f>
        <v>0</v>
      </c>
      <c r="H19" s="118">
        <f>(SUMIF('Project List'!$C$56:$C$178,"15",'Project List'!$AL$56:$AL$178))/5280</f>
        <v>0</v>
      </c>
      <c r="I19" s="118">
        <f>(SUMIF('Project List'!$C$56:$C$178,"15",'Project List'!$AM$56:$AM$178))/5280</f>
        <v>0</v>
      </c>
    </row>
    <row r="20" spans="2:9" ht="15.75" thickBot="1" x14ac:dyDescent="0.3">
      <c r="B20" s="112" t="s">
        <v>5601</v>
      </c>
      <c r="C20" s="117">
        <f>SUMIF('Project List'!$C$56:$C$178,"16",'Project List'!$G$56:$G$178)</f>
        <v>0</v>
      </c>
      <c r="D20" s="119">
        <f>COUNTIF('Project List'!$C$56:$C$178,"16")</f>
        <v>0</v>
      </c>
      <c r="F20" s="117">
        <f>(SUMIF('Project List'!$C$56:$C$178,"16",'Project List'!$AJ$56:$AJ$178))/5280</f>
        <v>0</v>
      </c>
      <c r="G20" s="117">
        <f>(SUMIF('Project List'!$C$56:$C$178,"16",'Project List'!$AK$56:$AK$178))/5280</f>
        <v>0</v>
      </c>
      <c r="H20" s="117">
        <f>(SUMIF('Project List'!$C$56:$C$178,"16",'Project List'!$AL$56:$AL$178))/5280</f>
        <v>0</v>
      </c>
      <c r="I20" s="117">
        <f>(SUMIF('Project List'!$C$56:$C$178,"16",'Project List'!$AM$56:$AM$178))/5280</f>
        <v>0</v>
      </c>
    </row>
    <row r="21" spans="2:9" ht="15.75" thickBot="1" x14ac:dyDescent="0.3">
      <c r="B21" s="116" t="s">
        <v>5594</v>
      </c>
      <c r="C21" s="118">
        <f>SUMIF('Project List'!$C$56:$C$178,"17",'Project List'!$G$56:$G$178)</f>
        <v>0</v>
      </c>
      <c r="D21" s="120">
        <f>COUNTIF('Project List'!$C$56:$C$178,"17")</f>
        <v>0</v>
      </c>
      <c r="F21" s="118">
        <f>(SUMIF('Project List'!$C$56:$C$178,"17",'Project List'!$AJ$56:$AJ$178))/5280</f>
        <v>0</v>
      </c>
      <c r="G21" s="118">
        <f>(SUMIF('Project List'!$C$56:$C$178,"17",'Project List'!$AK$56:$AK$178))/5280</f>
        <v>0</v>
      </c>
      <c r="H21" s="118">
        <f>(SUMIF('Project List'!$C$56:$C$178,"17",'Project List'!$AL$56:$AL$178))/5280</f>
        <v>0</v>
      </c>
      <c r="I21" s="118">
        <f>(SUMIF('Project List'!$C$56:$C$178,"17",'Project List'!$AM$56:$AM$178))/5280</f>
        <v>0</v>
      </c>
    </row>
    <row r="22" spans="2:9" ht="15.75" thickBot="1" x14ac:dyDescent="0.3">
      <c r="B22" s="112" t="s">
        <v>5595</v>
      </c>
      <c r="C22" s="117">
        <f>SUMIF('Project List'!$C$56:$C$178,"18",'Project List'!$G$56:$G$178)</f>
        <v>29.390999999999998</v>
      </c>
      <c r="D22" s="119">
        <f>COUNTIF('Project List'!$C$56:$C$178,"18")</f>
        <v>9</v>
      </c>
      <c r="F22" s="117">
        <f>(SUMIF('Project List'!$C$56:$C$178,"18",'Project List'!$AJ$56:$AJ$178))/5280</f>
        <v>12.777916666666666</v>
      </c>
      <c r="G22" s="117">
        <f>(SUMIF('Project List'!$C$56:$C$178,"18",'Project List'!$AK$56:$AK$178))/5280</f>
        <v>15.76030303030303</v>
      </c>
      <c r="H22" s="117">
        <f>(SUMIF('Project List'!$C$56:$C$178,"18",'Project List'!$AL$56:$AL$178))/5280</f>
        <v>0.84356060606060601</v>
      </c>
      <c r="I22" s="117">
        <f>(SUMIF('Project List'!$C$56:$C$178,"18",'Project List'!$AM$56:$AM$178))/5280</f>
        <v>0</v>
      </c>
    </row>
    <row r="23" spans="2:9" ht="15.75" thickBot="1" x14ac:dyDescent="0.3">
      <c r="B23" s="116" t="s">
        <v>5596</v>
      </c>
      <c r="C23" s="118">
        <f>SUMIF('Project List'!$C$56:$C$178,"19",'Project List'!$G$56:$G$178)</f>
        <v>1.47</v>
      </c>
      <c r="D23" s="120">
        <f>COUNTIF('Project List'!$C$56:$C$178,"19")</f>
        <v>1</v>
      </c>
      <c r="F23" s="118">
        <f>(SUMIF('Project List'!$C$56:$C$178,"19",'Project List'!$AJ$56:$AJ$178))/5280</f>
        <v>1.4732954545454546</v>
      </c>
      <c r="G23" s="118">
        <f>(SUMIF('Project List'!$C$56:$C$178,"19",'Project List'!$AK$56:$AK$178))/5280</f>
        <v>0</v>
      </c>
      <c r="H23" s="118">
        <f>(SUMIF('Project List'!$C$56:$C$178,"19",'Project List'!$AL$56:$AL$178))/5280</f>
        <v>0</v>
      </c>
      <c r="I23" s="118">
        <f>(SUMIF('Project List'!$C$56:$C$178,"19",'Project List'!$AM$56:$AM$178))/5280</f>
        <v>0</v>
      </c>
    </row>
    <row r="24" spans="2:9" ht="15.75" thickBot="1" x14ac:dyDescent="0.3">
      <c r="B24" s="112" t="s">
        <v>5599</v>
      </c>
      <c r="C24" s="117">
        <f>SUMIF('Project List'!$C$56:$C$178,"20",'Project List'!$G$56:$G$178)</f>
        <v>40.646000000000001</v>
      </c>
      <c r="D24" s="119">
        <f>COUNTIF('Project List'!$C$56:$C$178,"20")</f>
        <v>25</v>
      </c>
      <c r="F24" s="117">
        <f>(SUMIF('Project List'!$C$56:$C$178,"20",'Project List'!$AJ$56:$AJ$178))/5280</f>
        <v>45.216477272727275</v>
      </c>
      <c r="G24" s="117">
        <f>(SUMIF('Project List'!$C$56:$C$178,"20",'Project List'!$AK$56:$AK$178))/5280</f>
        <v>0</v>
      </c>
      <c r="H24" s="117">
        <f>(SUMIF('Project List'!$C$56:$C$178,"20",'Project List'!$AL$56:$AL$178))/5280</f>
        <v>0</v>
      </c>
      <c r="I24" s="117">
        <f>(SUMIF('Project List'!$C$56:$C$178,"20",'Project List'!$AM$56:$AM$178))/5280</f>
        <v>0</v>
      </c>
    </row>
    <row r="25" spans="2:9" ht="15.75" thickBot="1" x14ac:dyDescent="0.3">
      <c r="C25" s="121">
        <f>SUM(C4:C24)</f>
        <v>475.76186363636373</v>
      </c>
      <c r="D25" s="122">
        <f>SUM(D4:D24)</f>
        <v>123</v>
      </c>
      <c r="F25" s="121">
        <f>SUM(F18:F24)</f>
        <v>62.35178030303031</v>
      </c>
      <c r="G25" s="121">
        <f t="shared" ref="G25:I25" si="0">SUM(G18:G24)</f>
        <v>15.76030303030303</v>
      </c>
      <c r="H25" s="121">
        <f t="shared" si="0"/>
        <v>0.84356060606060601</v>
      </c>
      <c r="I25" s="121">
        <f t="shared" si="0"/>
        <v>0</v>
      </c>
    </row>
  </sheetData>
  <mergeCells count="2">
    <mergeCell ref="C2:D2"/>
    <mergeCell ref="F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417"/>
  <sheetViews>
    <sheetView tabSelected="1" zoomScale="80" zoomScaleNormal="80" workbookViewId="0">
      <pane ySplit="2" topLeftCell="A56" activePane="bottomLeft" state="frozen"/>
      <selection activeCell="X1" sqref="X1"/>
      <selection pane="bottomLeft" activeCell="G126" sqref="G126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4" max="4" width="9.140625" hidden="1" customWidth="1"/>
    <col min="5" max="5" width="11.140625" bestFit="1" customWidth="1"/>
    <col min="7" max="7" width="10.28515625" customWidth="1"/>
    <col min="8" max="9" width="9.140625" hidden="1" customWidth="1"/>
    <col min="10" max="10" width="10.7109375" hidden="1" customWidth="1"/>
    <col min="11" max="11" width="11.5703125" customWidth="1"/>
    <col min="12" max="12" width="15.140625" hidden="1" customWidth="1"/>
    <col min="14" max="14" width="10.85546875" hidden="1" customWidth="1"/>
    <col min="15" max="15" width="27.140625" customWidth="1"/>
    <col min="16" max="16" width="31.5703125" customWidth="1"/>
    <col min="17" max="17" width="8.28515625" hidden="1" customWidth="1"/>
    <col min="18" max="18" width="12" hidden="1" customWidth="1"/>
    <col min="19" max="19" width="11.85546875" hidden="1" customWidth="1"/>
    <col min="20" max="20" width="11.42578125" hidden="1" customWidth="1"/>
    <col min="21" max="21" width="13.140625" hidden="1" customWidth="1"/>
    <col min="22" max="22" width="12.42578125" hidden="1" customWidth="1"/>
    <col min="23" max="23" width="10.7109375" hidden="1" customWidth="1"/>
    <col min="24" max="24" width="9.140625" hidden="1" customWidth="1"/>
    <col min="25" max="25" width="10.140625" hidden="1" customWidth="1"/>
    <col min="26" max="26" width="9.140625" style="53" hidden="1" customWidth="1"/>
    <col min="27" max="27" width="22.140625" hidden="1" customWidth="1"/>
    <col min="28" max="28" width="15.28515625" customWidth="1"/>
    <col min="29" max="29" width="14.28515625" customWidth="1"/>
    <col min="30" max="30" width="15" hidden="1" customWidth="1"/>
    <col min="31" max="31" width="8.85546875" customWidth="1"/>
    <col min="32" max="32" width="15.85546875" customWidth="1"/>
    <col min="33" max="33" width="10.85546875" customWidth="1"/>
    <col min="34" max="34" width="12.28515625" hidden="1" customWidth="1"/>
    <col min="35" max="35" width="45.28515625" customWidth="1"/>
    <col min="36" max="36" width="15.85546875" hidden="1" customWidth="1"/>
    <col min="37" max="37" width="9.85546875" hidden="1" customWidth="1"/>
    <col min="38" max="38" width="14.5703125" hidden="1" customWidth="1"/>
    <col min="39" max="39" width="14.42578125" hidden="1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5597</v>
      </c>
      <c r="D2" s="24" t="s">
        <v>5598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x14ac:dyDescent="0.25">
      <c r="A3" s="23">
        <v>35212495</v>
      </c>
      <c r="B3" s="79" t="s">
        <v>5559</v>
      </c>
      <c r="C3" s="23"/>
      <c r="D3" s="23" t="s">
        <v>4871</v>
      </c>
      <c r="E3" s="19">
        <v>2020999</v>
      </c>
      <c r="F3" s="23">
        <v>7.65</v>
      </c>
      <c r="G3" s="37">
        <f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5205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>(AJ3*0.67+AK3*0.99+AL3+AM3*0.99)/(SUM(AJ3:AM3))*T3*(F3/R3)</f>
        <v>#VALUE!</v>
      </c>
      <c r="Y3" s="23"/>
      <c r="Z3" s="23" t="s">
        <v>5203</v>
      </c>
      <c r="AA3" s="19" t="s">
        <v>5535</v>
      </c>
      <c r="AB3" s="19" t="s">
        <v>5536</v>
      </c>
      <c r="AC3" s="19" t="s">
        <v>5536</v>
      </c>
      <c r="AD3" s="19" t="s">
        <v>4963</v>
      </c>
      <c r="AE3" s="23">
        <v>5793921</v>
      </c>
      <c r="AF3" s="23" t="s">
        <v>5206</v>
      </c>
      <c r="AG3" s="23">
        <v>119985141</v>
      </c>
      <c r="AH3" s="23">
        <v>35212495</v>
      </c>
      <c r="AI3" s="23" t="s">
        <v>5207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>AU3+AV3</f>
        <v>0</v>
      </c>
      <c r="AX3" s="41">
        <f>AW3/5280</f>
        <v>0</v>
      </c>
    </row>
    <row r="4" spans="1:67" s="19" customFormat="1" x14ac:dyDescent="0.25">
      <c r="A4" s="23">
        <v>35212464</v>
      </c>
      <c r="B4" s="79" t="s">
        <v>5559</v>
      </c>
      <c r="C4" s="23"/>
      <c r="D4" s="23" t="s">
        <v>4871</v>
      </c>
      <c r="E4" s="19">
        <v>2020999</v>
      </c>
      <c r="F4" s="23">
        <v>0.48</v>
      </c>
      <c r="G4" s="37">
        <f>F4-K4</f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5230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>IFERROR(U4*Q4,0)</f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>(AJ4*0.67+AK4*0.99+AL4+AM4*0.99)/(SUM(AJ4:AM4))*T4*(F4/R4)</f>
        <v>#VALUE!</v>
      </c>
      <c r="Y4" s="23"/>
      <c r="Z4" s="23" t="s">
        <v>5203</v>
      </c>
      <c r="AA4" s="19" t="s">
        <v>4959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5231</v>
      </c>
      <c r="AG4" s="23">
        <v>119983588</v>
      </c>
      <c r="AH4" s="23">
        <v>35212464</v>
      </c>
      <c r="AI4" s="23" t="s">
        <v>5232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>AU4+AV4</f>
        <v>0</v>
      </c>
      <c r="AX4" s="41">
        <f>AW4/5280</f>
        <v>0</v>
      </c>
    </row>
    <row r="5" spans="1:67" s="19" customFormat="1" x14ac:dyDescent="0.25">
      <c r="A5" s="23">
        <v>35212487</v>
      </c>
      <c r="B5" s="79" t="s">
        <v>5559</v>
      </c>
      <c r="C5" s="23"/>
      <c r="D5" s="23" t="s">
        <v>4871</v>
      </c>
      <c r="E5" s="19">
        <v>2020999</v>
      </c>
      <c r="F5" s="23">
        <v>1.82</v>
      </c>
      <c r="G5" s="37">
        <f>F5-K5</f>
        <v>0</v>
      </c>
      <c r="H5" s="23">
        <v>2020</v>
      </c>
      <c r="K5" s="23">
        <v>1.82</v>
      </c>
      <c r="L5" s="21">
        <v>0</v>
      </c>
      <c r="M5" s="23" t="s">
        <v>4880</v>
      </c>
      <c r="N5" s="22">
        <v>103221101</v>
      </c>
      <c r="O5" s="19" t="s">
        <v>2034</v>
      </c>
      <c r="P5" s="23" t="s">
        <v>2033</v>
      </c>
      <c r="Q5" s="38">
        <f>IFERROR(VLOOKUP(P5,[47]conductor_pz_summary_hftd_23_re!$B$2:$Q$3636,8,FALSE),0)</f>
        <v>80</v>
      </c>
      <c r="R5" s="38">
        <f>IFERROR(VLOOKUP(P5,[48]conductor_pz_summary_hftd_23_re!$B$2:$H$3636,7,0),0)/1609</f>
        <v>11.15105428034307</v>
      </c>
      <c r="S5" s="23">
        <f>IFERROR(VLOOKUP(P5,[47]conductor_pz_summary_hftd_23_re!$B$2:$Q$3636,14,FALSE),0)</f>
        <v>1566</v>
      </c>
      <c r="T5" s="23">
        <f>IFERROR(U5*Q5,0)</f>
        <v>1.9751079058309999</v>
      </c>
      <c r="U5" s="23">
        <f>IFERROR(VLOOKUP(P5,[47]conductor_pz_summary_hftd_23_re!$B$2:$Q$3636,13,FALSE),0)</f>
        <v>2.4688848822887501E-2</v>
      </c>
      <c r="V5" s="79">
        <f>IFERROR(VLOOKUP(P5,conductor_pz_summary_hftd_23_re!$B$2:$N$3636,13,FALSE),0)</f>
        <v>1434</v>
      </c>
      <c r="W5" s="65" t="e">
        <f>(AJ5*0.67+AK5*0.99+AL5+AM5*0.99)/(SUM(AJ5:AM5))*T5*(F5/R5)</f>
        <v>#VALUE!</v>
      </c>
      <c r="Y5" s="23"/>
      <c r="Z5" s="23" t="s">
        <v>5203</v>
      </c>
      <c r="AA5" s="19" t="s">
        <v>5495</v>
      </c>
      <c r="AB5" s="19" t="s">
        <v>5247</v>
      </c>
      <c r="AC5" s="19" t="s">
        <v>5242</v>
      </c>
      <c r="AD5" s="19" t="s">
        <v>4877</v>
      </c>
      <c r="AE5" s="23">
        <v>5793918</v>
      </c>
      <c r="AF5" s="23" t="s">
        <v>5250</v>
      </c>
      <c r="AG5" s="23">
        <v>119983959</v>
      </c>
      <c r="AH5" s="23">
        <v>35212487</v>
      </c>
      <c r="AI5" s="23" t="s">
        <v>5627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>AU5+AV5</f>
        <v>0</v>
      </c>
      <c r="AX5" s="41">
        <f>AW5/5280</f>
        <v>0</v>
      </c>
    </row>
    <row r="6" spans="1:67" s="19" customFormat="1" x14ac:dyDescent="0.25">
      <c r="A6" s="23">
        <v>35212460</v>
      </c>
      <c r="B6" s="79" t="s">
        <v>5559</v>
      </c>
      <c r="C6" s="23"/>
      <c r="D6" s="23" t="s">
        <v>4871</v>
      </c>
      <c r="E6" s="19">
        <v>2020999</v>
      </c>
      <c r="F6" s="23">
        <v>17.43</v>
      </c>
      <c r="G6" s="37">
        <f>F6-K6</f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5278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>IFERROR(U6*Q6,0)</f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>(AJ6*0.67+AK6*0.99+AL6+AM6*0.99)/(SUM(AJ6:AM6))*T6*(F6/R6)</f>
        <v>#VALUE!</v>
      </c>
      <c r="Y6" s="23"/>
      <c r="Z6" s="23" t="s">
        <v>5203</v>
      </c>
      <c r="AA6" s="19" t="s">
        <v>4944</v>
      </c>
      <c r="AB6" s="19" t="s">
        <v>4945</v>
      </c>
      <c r="AC6" s="19" t="s">
        <v>4945</v>
      </c>
      <c r="AD6" s="19" t="s">
        <v>4877</v>
      </c>
      <c r="AE6" s="23">
        <v>5793893</v>
      </c>
      <c r="AF6" s="23" t="s">
        <v>5279</v>
      </c>
      <c r="AG6" s="23">
        <v>119983565</v>
      </c>
      <c r="AH6" s="23">
        <v>35212460</v>
      </c>
      <c r="AI6" s="23" t="s">
        <v>5280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>AU6+AV6</f>
        <v>0</v>
      </c>
      <c r="AX6" s="41">
        <f>AW6/5280</f>
        <v>0</v>
      </c>
    </row>
    <row r="7" spans="1:67" s="19" customFormat="1" x14ac:dyDescent="0.25">
      <c r="A7" s="23">
        <v>35212466</v>
      </c>
      <c r="B7" s="79" t="s">
        <v>5559</v>
      </c>
      <c r="C7" s="23"/>
      <c r="D7" s="23" t="s">
        <v>4871</v>
      </c>
      <c r="E7" s="19">
        <v>2020999</v>
      </c>
      <c r="F7" s="23">
        <v>8.94</v>
      </c>
      <c r="G7" s="37">
        <f>F7-K7</f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>IFERROR(U7*Q7,0)</f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>(AJ7*0.67+AK7*0.99+AL7+AM7*0.99)/(SUM(AJ7:AM7))*T7*(F7/R7)</f>
        <v>#VALUE!</v>
      </c>
      <c r="Y7" s="23"/>
      <c r="Z7" s="23" t="s">
        <v>5203</v>
      </c>
      <c r="AA7" s="19" t="s">
        <v>5509</v>
      </c>
      <c r="AB7" s="19" t="s">
        <v>5512</v>
      </c>
      <c r="AC7" s="19" t="s">
        <v>5310</v>
      </c>
      <c r="AD7" s="19" t="s">
        <v>4877</v>
      </c>
      <c r="AE7" s="23">
        <v>5793894</v>
      </c>
      <c r="AF7" s="23" t="s">
        <v>5313</v>
      </c>
      <c r="AG7" s="23">
        <v>119984990</v>
      </c>
      <c r="AH7" s="23">
        <v>35212466</v>
      </c>
      <c r="AI7" s="23" t="s">
        <v>5314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>AU7+AV7</f>
        <v>0</v>
      </c>
      <c r="AX7" s="41">
        <f>AW7/5280</f>
        <v>0</v>
      </c>
    </row>
    <row r="8" spans="1:67" s="19" customFormat="1" x14ac:dyDescent="0.25">
      <c r="A8" s="23">
        <v>35212490</v>
      </c>
      <c r="B8" s="79" t="s">
        <v>5559</v>
      </c>
      <c r="C8" s="23"/>
      <c r="D8" s="23" t="s">
        <v>4871</v>
      </c>
      <c r="E8" s="19">
        <v>2020999</v>
      </c>
      <c r="F8" s="23">
        <v>5.44</v>
      </c>
      <c r="G8" s="37">
        <f>F8-K8</f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>IFERROR(U8*Q8,0)</f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>(AJ8*0.67+AK8*0.99+AL8+AM8*0.99)/(SUM(AJ8:AM8))*T8*(F8/R8)</f>
        <v>#VALUE!</v>
      </c>
      <c r="Y8" s="23"/>
      <c r="Z8" s="23" t="s">
        <v>5203</v>
      </c>
      <c r="AA8" s="19" t="s">
        <v>5494</v>
      </c>
      <c r="AB8" s="19" t="s">
        <v>5490</v>
      </c>
      <c r="AC8" s="19" t="s">
        <v>5242</v>
      </c>
      <c r="AD8" s="19" t="s">
        <v>4877</v>
      </c>
      <c r="AE8" s="23">
        <v>5793919</v>
      </c>
      <c r="AF8" s="23" t="s">
        <v>5245</v>
      </c>
      <c r="AG8" s="23">
        <v>119984003</v>
      </c>
      <c r="AH8" s="23">
        <v>35212490</v>
      </c>
      <c r="AI8" s="23" t="s">
        <v>5246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>AU8+AV8</f>
        <v>0</v>
      </c>
      <c r="AX8" s="41">
        <f>AW8/5280</f>
        <v>0</v>
      </c>
    </row>
    <row r="9" spans="1:67" s="19" customFormat="1" x14ac:dyDescent="0.25">
      <c r="A9" s="23">
        <v>35212465</v>
      </c>
      <c r="B9" s="79" t="s">
        <v>5559</v>
      </c>
      <c r="C9" s="23"/>
      <c r="D9" s="23" t="s">
        <v>4871</v>
      </c>
      <c r="E9" s="19">
        <v>2020999</v>
      </c>
      <c r="F9" s="23">
        <v>6.34</v>
      </c>
      <c r="G9" s="37">
        <f>F9-K9</f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>IFERROR(U9*Q9,0)</f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>(AJ9*0.67+AK9*0.99+AL9+AM9*0.99)/(SUM(AJ9:AM9))*T9*(F9/R9)</f>
        <v>#VALUE!</v>
      </c>
      <c r="Y9" s="23"/>
      <c r="Z9" s="23" t="s">
        <v>5203</v>
      </c>
      <c r="AA9" s="19" t="s">
        <v>5509</v>
      </c>
      <c r="AB9" s="19" t="s">
        <v>5512</v>
      </c>
      <c r="AC9" s="19" t="s">
        <v>5310</v>
      </c>
      <c r="AD9" s="19" t="s">
        <v>4877</v>
      </c>
      <c r="AE9" s="23">
        <v>5793894</v>
      </c>
      <c r="AF9" s="23" t="s">
        <v>5311</v>
      </c>
      <c r="AG9" s="23">
        <v>119933526</v>
      </c>
      <c r="AH9" s="23">
        <v>35212465</v>
      </c>
      <c r="AI9" s="23" t="s">
        <v>5312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>AU9+AV9</f>
        <v>0</v>
      </c>
      <c r="AX9" s="41">
        <f>AW9/5280</f>
        <v>0</v>
      </c>
    </row>
    <row r="10" spans="1:67" s="19" customFormat="1" x14ac:dyDescent="0.25">
      <c r="A10" s="23">
        <v>35212406</v>
      </c>
      <c r="B10" s="79" t="s">
        <v>5559</v>
      </c>
      <c r="C10" s="23"/>
      <c r="D10" s="23" t="s">
        <v>4871</v>
      </c>
      <c r="E10" s="19">
        <v>2020999</v>
      </c>
      <c r="F10" s="23"/>
      <c r="G10" s="37">
        <f>F10-K10</f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>IFERROR(U10*Q10,0)</f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>(AJ10*0.67+AK10*0.99+AL10+AM10*0.99)/(SUM(AJ10:AM10))*T10*(F10/R10)</f>
        <v>#VALUE!</v>
      </c>
      <c r="X10" s="23"/>
      <c r="Y10" s="23"/>
      <c r="Z10" s="23" t="s">
        <v>5203</v>
      </c>
      <c r="AA10" s="19" t="s">
        <v>4914</v>
      </c>
      <c r="AB10" s="19" t="s">
        <v>5502</v>
      </c>
      <c r="AC10" s="19" t="s">
        <v>4883</v>
      </c>
      <c r="AD10" s="19" t="s">
        <v>4903</v>
      </c>
      <c r="AE10" s="23">
        <v>5793892</v>
      </c>
      <c r="AF10" s="23" t="s">
        <v>5260</v>
      </c>
      <c r="AG10" s="23">
        <v>119983061</v>
      </c>
      <c r="AH10" s="23">
        <v>35212406</v>
      </c>
      <c r="AI10" s="23" t="s">
        <v>5261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>AU10+AV10</f>
        <v>0</v>
      </c>
      <c r="AX10" s="41">
        <f>AW10/5280</f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x14ac:dyDescent="0.25">
      <c r="A11" s="23">
        <v>35212408</v>
      </c>
      <c r="B11" s="79" t="s">
        <v>5559</v>
      </c>
      <c r="C11" s="23"/>
      <c r="D11" s="23" t="s">
        <v>4871</v>
      </c>
      <c r="E11" s="19">
        <v>2020999</v>
      </c>
      <c r="F11" s="23">
        <v>1.58</v>
      </c>
      <c r="G11" s="37">
        <f>F11-K11</f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>IFERROR(U11*Q11,0)</f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>(AJ11*0.67+AK11*0.99+AL11+AM11*0.99)/(SUM(AJ11:AM11))*T11*(F11/R11)</f>
        <v>#VALUE!</v>
      </c>
      <c r="X11" s="23"/>
      <c r="Y11" s="23"/>
      <c r="Z11" s="23" t="s">
        <v>5203</v>
      </c>
      <c r="AA11" s="19" t="s">
        <v>4949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5290</v>
      </c>
      <c r="AG11" s="23">
        <v>119983069</v>
      </c>
      <c r="AH11" s="23">
        <v>35212408</v>
      </c>
      <c r="AI11" s="23" t="s">
        <v>5291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>AU11+AV11</f>
        <v>0</v>
      </c>
      <c r="AX11" s="41">
        <f>AW11/5280</f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x14ac:dyDescent="0.25">
      <c r="A12" s="23">
        <v>35212489</v>
      </c>
      <c r="B12" s="79" t="s">
        <v>5559</v>
      </c>
      <c r="C12" s="23"/>
      <c r="D12" s="23" t="s">
        <v>4871</v>
      </c>
      <c r="E12" s="19">
        <v>2020999</v>
      </c>
      <c r="F12" s="23">
        <v>4.16</v>
      </c>
      <c r="G12" s="37">
        <f>F12-K12</f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>IFERROR(U12*Q12,0)</f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>(AJ12*0.67+AK12*0.99+AL12+AM12*0.99)/(SUM(AJ12:AM12))*T12*(F12/R12)</f>
        <v>#VALUE!</v>
      </c>
      <c r="Y12" s="23"/>
      <c r="Z12" s="23" t="s">
        <v>5203</v>
      </c>
      <c r="AA12" s="19" t="s">
        <v>5493</v>
      </c>
      <c r="AB12" s="19" t="s">
        <v>5490</v>
      </c>
      <c r="AC12" s="19" t="s">
        <v>5242</v>
      </c>
      <c r="AD12" s="19" t="s">
        <v>4877</v>
      </c>
      <c r="AE12" s="23">
        <v>5793919</v>
      </c>
      <c r="AF12" s="23" t="s">
        <v>5243</v>
      </c>
      <c r="AG12" s="23">
        <v>119933733</v>
      </c>
      <c r="AH12" s="23">
        <v>35212489</v>
      </c>
      <c r="AI12" s="23" t="s">
        <v>5244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>AU12+AV12</f>
        <v>0</v>
      </c>
      <c r="AX12" s="41">
        <f>AW12/5280</f>
        <v>0</v>
      </c>
    </row>
    <row r="13" spans="1:67" s="19" customFormat="1" x14ac:dyDescent="0.25">
      <c r="A13" s="23">
        <v>35212411</v>
      </c>
      <c r="B13" s="79" t="s">
        <v>5559</v>
      </c>
      <c r="C13" s="23"/>
      <c r="D13" s="23" t="s">
        <v>4871</v>
      </c>
      <c r="E13" s="19">
        <v>2020999</v>
      </c>
      <c r="F13" s="23">
        <v>0.17</v>
      </c>
      <c r="G13" s="37">
        <f>F13-K13</f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>IFERROR(U13*Q13,0)</f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>(AJ13*0.67+AK13*0.99+AL13+AM13*0.99)/(SUM(AJ13:AM13))*T13*(F13/R13)</f>
        <v>#VALUE!</v>
      </c>
      <c r="X13" s="23"/>
      <c r="Y13" s="23"/>
      <c r="Z13" s="23" t="s">
        <v>5203</v>
      </c>
      <c r="AA13" s="19" t="s">
        <v>5506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5300</v>
      </c>
      <c r="AG13" s="23">
        <v>119983147</v>
      </c>
      <c r="AH13" s="23">
        <v>35212411</v>
      </c>
      <c r="AI13" s="23" t="s">
        <v>5301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>AU13+AV13</f>
        <v>0</v>
      </c>
      <c r="AX13" s="41">
        <f>AW13/5280</f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x14ac:dyDescent="0.25">
      <c r="A14" s="23">
        <v>35212404</v>
      </c>
      <c r="B14" s="79" t="s">
        <v>5559</v>
      </c>
      <c r="C14" s="23"/>
      <c r="D14" s="23" t="s">
        <v>4871</v>
      </c>
      <c r="E14" s="19">
        <v>2020999</v>
      </c>
      <c r="F14" s="23">
        <v>5</v>
      </c>
      <c r="G14" s="37">
        <f>F14-K14</f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>IFERROR(U14*Q14,0)</f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>(AJ14*0.67+AK14*0.99+AL14+AM14*0.99)/(SUM(AJ14:AM14))*T14*(F14/R14)</f>
        <v>#VALUE!</v>
      </c>
      <c r="X14" s="23"/>
      <c r="Y14" s="23"/>
      <c r="Z14" s="23" t="s">
        <v>5203</v>
      </c>
      <c r="AA14" s="19" t="s">
        <v>4914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5262</v>
      </c>
      <c r="AG14" s="23">
        <v>119982981</v>
      </c>
      <c r="AH14" s="23">
        <v>35212404</v>
      </c>
      <c r="AI14" s="23" t="s">
        <v>5263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>AU14+AV14</f>
        <v>0</v>
      </c>
      <c r="AX14" s="41">
        <f>AW14/5280</f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x14ac:dyDescent="0.25">
      <c r="A15" s="47">
        <v>35122401</v>
      </c>
      <c r="B15" s="79" t="s">
        <v>5559</v>
      </c>
      <c r="C15" s="23"/>
      <c r="D15" s="23" t="s">
        <v>4871</v>
      </c>
      <c r="E15" s="19">
        <v>2020999</v>
      </c>
      <c r="F15" s="23">
        <v>7.31</v>
      </c>
      <c r="G15" s="37">
        <f>F15-K15</f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>IFERROR(U15*Q15,0)</f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>(AJ15*0.67+AK15*0.99+AL15+AM15*0.99)/(SUM(AJ15:AM15))*T15*(F15/R15)</f>
        <v>#VALUE!</v>
      </c>
      <c r="X15" s="23"/>
      <c r="Y15" s="23"/>
      <c r="Z15" s="23" t="s">
        <v>5203</v>
      </c>
      <c r="AA15" s="19" t="s">
        <v>5501</v>
      </c>
      <c r="AB15" s="19" t="s">
        <v>5500</v>
      </c>
      <c r="AC15" s="19" t="s">
        <v>5242</v>
      </c>
      <c r="AD15" s="19" t="s">
        <v>4877</v>
      </c>
      <c r="AE15" s="23">
        <v>5793892</v>
      </c>
      <c r="AF15" s="23" t="s">
        <v>5257</v>
      </c>
      <c r="AG15" s="23">
        <v>119933522</v>
      </c>
      <c r="AH15" s="47">
        <v>35122401</v>
      </c>
      <c r="AI15" s="23" t="s">
        <v>5258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5259</v>
      </c>
      <c r="AW15" s="23">
        <f>AU15+AV15</f>
        <v>0</v>
      </c>
      <c r="AX15" s="41">
        <f>AW15/5280</f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x14ac:dyDescent="0.25">
      <c r="A16" s="23">
        <v>35212402</v>
      </c>
      <c r="B16" s="79" t="s">
        <v>5559</v>
      </c>
      <c r="C16" s="23"/>
      <c r="D16" s="23" t="s">
        <v>4871</v>
      </c>
      <c r="E16" s="19">
        <v>2020999</v>
      </c>
      <c r="F16" s="23">
        <v>2.42</v>
      </c>
      <c r="G16" s="37">
        <f>F16-K16</f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>IFERROR(U16*Q16,0)</f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>(AJ16*0.67+AK16*0.99+AL16+AM16*0.99)/(SUM(AJ16:AM16))*T16*(F16/R16)</f>
        <v>#VALUE!</v>
      </c>
      <c r="X16" s="23"/>
      <c r="Y16" s="23"/>
      <c r="Z16" s="23" t="s">
        <v>5203</v>
      </c>
      <c r="AA16" s="19" t="s">
        <v>4914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5266</v>
      </c>
      <c r="AG16" s="23">
        <v>119982885</v>
      </c>
      <c r="AH16" s="23">
        <v>35212402</v>
      </c>
      <c r="AI16" s="23" t="s">
        <v>5267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>AU16+AV16</f>
        <v>0</v>
      </c>
      <c r="AX16" s="41">
        <f>AW16/5280</f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x14ac:dyDescent="0.25">
      <c r="A17" s="23">
        <v>35212491</v>
      </c>
      <c r="B17" s="79" t="s">
        <v>5559</v>
      </c>
      <c r="C17" s="23"/>
      <c r="D17" s="23" t="s">
        <v>4871</v>
      </c>
      <c r="E17" s="19">
        <v>2020999</v>
      </c>
      <c r="F17" s="23">
        <v>0.96</v>
      </c>
      <c r="G17" s="37">
        <f>F17-K17</f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5287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>IFERROR(U17*Q17,0)</f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>(AJ17*0.67+AK17*0.99+AL17+AM17*0.99)/(SUM(AJ17:AM17))*T17*(F17/R17)</f>
        <v>#VALUE!</v>
      </c>
      <c r="Y17" s="23"/>
      <c r="Z17" s="23" t="s">
        <v>5203</v>
      </c>
      <c r="AA17" s="19" t="s">
        <v>5504</v>
      </c>
      <c r="AB17" s="19" t="s">
        <v>5505</v>
      </c>
      <c r="AC17" s="19" t="s">
        <v>4969</v>
      </c>
      <c r="AD17" s="19" t="s">
        <v>4963</v>
      </c>
      <c r="AE17" s="23">
        <v>5793920</v>
      </c>
      <c r="AF17" s="23" t="s">
        <v>5288</v>
      </c>
      <c r="AG17" s="23">
        <v>119933734</v>
      </c>
      <c r="AH17" s="23">
        <v>35212491</v>
      </c>
      <c r="AI17" s="23" t="s">
        <v>5289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>AU17+AV17</f>
        <v>0</v>
      </c>
      <c r="AX17" s="41">
        <f>AW17/5280</f>
        <v>0</v>
      </c>
    </row>
    <row r="18" spans="1:61" s="19" customFormat="1" x14ac:dyDescent="0.25">
      <c r="A18" s="23">
        <v>35212479</v>
      </c>
      <c r="B18" s="79" t="s">
        <v>5559</v>
      </c>
      <c r="C18" s="23"/>
      <c r="D18" s="23" t="s">
        <v>4871</v>
      </c>
      <c r="E18" s="19">
        <v>2020999</v>
      </c>
      <c r="F18" s="23">
        <v>7</v>
      </c>
      <c r="G18" s="37">
        <f>F18-K18</f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>IFERROR(U18*Q18,0)</f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>(AJ18*0.67+AK18*0.99+AL18+AM18*0.99)/(SUM(AJ18:AM18))*T18*(F18/R18)</f>
        <v>#VALUE!</v>
      </c>
      <c r="Y18" s="23"/>
      <c r="Z18" s="23" t="s">
        <v>5203</v>
      </c>
      <c r="AA18" s="19" t="s">
        <v>5495</v>
      </c>
      <c r="AB18" s="19" t="s">
        <v>5247</v>
      </c>
      <c r="AC18" s="19" t="s">
        <v>5242</v>
      </c>
      <c r="AD18" s="19" t="s">
        <v>4877</v>
      </c>
      <c r="AE18" s="23">
        <v>5793918</v>
      </c>
      <c r="AF18" s="23" t="s">
        <v>5226</v>
      </c>
      <c r="AG18" s="23">
        <v>119933732</v>
      </c>
      <c r="AH18" s="23">
        <v>35212479</v>
      </c>
      <c r="AI18" s="23" t="s">
        <v>5227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>AU18+AV18</f>
        <v>0</v>
      </c>
      <c r="AX18" s="41">
        <f>AW18/5280</f>
        <v>0</v>
      </c>
    </row>
    <row r="19" spans="1:61" s="19" customFormat="1" x14ac:dyDescent="0.25">
      <c r="A19" s="23">
        <v>35212405</v>
      </c>
      <c r="B19" s="79" t="s">
        <v>5559</v>
      </c>
      <c r="C19" s="23"/>
      <c r="D19" s="23" t="s">
        <v>4871</v>
      </c>
      <c r="E19" s="19">
        <v>2020999</v>
      </c>
      <c r="F19" s="23">
        <v>11.9</v>
      </c>
      <c r="G19" s="37">
        <f>F19-K19</f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>IFERROR(U19*Q19,0)</f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>(AJ19*0.67+AK19*0.99+AL19+AM19*0.99)/(SUM(AJ19:AM19))*T19*(F19/R19)</f>
        <v>#VALUE!</v>
      </c>
      <c r="X19" s="23"/>
      <c r="Y19" s="23"/>
      <c r="Z19" s="23" t="s">
        <v>5203</v>
      </c>
      <c r="AA19" s="19" t="s">
        <v>4914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5268</v>
      </c>
      <c r="AG19" s="23">
        <v>119982987</v>
      </c>
      <c r="AH19" s="23">
        <v>35212405</v>
      </c>
      <c r="AI19" s="23" t="s">
        <v>5269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>AU19+AV19</f>
        <v>0</v>
      </c>
      <c r="AX19" s="41">
        <f>AW19/5280</f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x14ac:dyDescent="0.25">
      <c r="A20" s="23">
        <v>35212494</v>
      </c>
      <c r="B20" s="79" t="s">
        <v>5559</v>
      </c>
      <c r="C20" s="23"/>
      <c r="D20" s="23" t="s">
        <v>4871</v>
      </c>
      <c r="E20" s="19">
        <v>2020999</v>
      </c>
      <c r="F20" s="23">
        <v>1.38</v>
      </c>
      <c r="G20" s="37">
        <f>F20-K20</f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>IFERROR(U20*Q20,0)</f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>(AJ20*0.67+AK20*0.99+AL20+AM20*0.99)/(SUM(AJ20:AM20))*T20*(F20/R20)</f>
        <v>#VALUE!</v>
      </c>
      <c r="Y20" s="23"/>
      <c r="Z20" s="23" t="s">
        <v>5203</v>
      </c>
      <c r="AA20" s="19" t="s">
        <v>5535</v>
      </c>
      <c r="AB20" s="19" t="s">
        <v>5536</v>
      </c>
      <c r="AC20" s="19" t="s">
        <v>5536</v>
      </c>
      <c r="AD20" s="19" t="s">
        <v>4963</v>
      </c>
      <c r="AE20" s="23">
        <v>5793921</v>
      </c>
      <c r="AF20" s="23" t="s">
        <v>5208</v>
      </c>
      <c r="AG20" s="23">
        <v>119984007</v>
      </c>
      <c r="AH20" s="23">
        <v>35212494</v>
      </c>
      <c r="AI20" s="23" t="s">
        <v>5209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>AU20+AV20</f>
        <v>0</v>
      </c>
      <c r="AX20" s="41">
        <f>AW20/5280</f>
        <v>0</v>
      </c>
    </row>
    <row r="21" spans="1:61" s="19" customFormat="1" x14ac:dyDescent="0.25">
      <c r="A21" s="23">
        <v>35212418</v>
      </c>
      <c r="B21" s="79" t="s">
        <v>5559</v>
      </c>
      <c r="C21" s="23"/>
      <c r="D21" s="23" t="s">
        <v>4871</v>
      </c>
      <c r="E21" s="19">
        <v>2020999</v>
      </c>
      <c r="F21" s="23">
        <v>13.7</v>
      </c>
      <c r="G21" s="37">
        <f>F21-K21</f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>IFERROR(U21*Q21,0)</f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>(AJ21*0.67+AK21*0.99+AL21+AM21*0.99)/(SUM(AJ21:AM21))*T21*(F21/R21)</f>
        <v>#VALUE!</v>
      </c>
      <c r="Y21" s="23"/>
      <c r="Z21" s="23" t="s">
        <v>5203</v>
      </c>
      <c r="AA21" s="19" t="s">
        <v>5492</v>
      </c>
      <c r="AB21" s="19" t="s">
        <v>4945</v>
      </c>
      <c r="AC21" s="19" t="s">
        <v>4945</v>
      </c>
      <c r="AD21" s="19" t="s">
        <v>4877</v>
      </c>
      <c r="AE21" s="23">
        <v>5793893</v>
      </c>
      <c r="AF21" s="23" t="s">
        <v>5240</v>
      </c>
      <c r="AG21" s="23">
        <v>119933523</v>
      </c>
      <c r="AH21" s="23">
        <v>35212418</v>
      </c>
      <c r="AI21" s="23" t="s">
        <v>5241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>AU21+AV21</f>
        <v>0</v>
      </c>
      <c r="AX21" s="41">
        <f>AW21/5280</f>
        <v>0</v>
      </c>
    </row>
    <row r="22" spans="1:61" s="19" customFormat="1" x14ac:dyDescent="0.25">
      <c r="A22" s="23">
        <v>35212481</v>
      </c>
      <c r="B22" s="79" t="s">
        <v>5559</v>
      </c>
      <c r="C22" s="23"/>
      <c r="D22" s="23" t="s">
        <v>4871</v>
      </c>
      <c r="E22" s="19">
        <v>2020999</v>
      </c>
      <c r="F22" s="23">
        <v>11.52</v>
      </c>
      <c r="G22" s="37">
        <f>F22-K22</f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>IFERROR(U22*Q22,0)</f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>(AJ22*0.67+AK22*0.99+AL22+AM22*0.99)/(SUM(AJ22:AM22))*T22*(F22/R22)</f>
        <v>#VALUE!</v>
      </c>
      <c r="Y22" s="23"/>
      <c r="Z22" s="23" t="s">
        <v>5203</v>
      </c>
      <c r="AA22" s="19" t="s">
        <v>5495</v>
      </c>
      <c r="AB22" s="19" t="s">
        <v>5247</v>
      </c>
      <c r="AC22" s="19" t="s">
        <v>5242</v>
      </c>
      <c r="AD22" s="19" t="s">
        <v>4877</v>
      </c>
      <c r="AE22" s="23">
        <v>5793918</v>
      </c>
      <c r="AF22" s="23" t="s">
        <v>5315</v>
      </c>
      <c r="AG22" s="23">
        <v>119983951</v>
      </c>
      <c r="AH22" s="23">
        <v>35212481</v>
      </c>
      <c r="AI22" s="23" t="s">
        <v>5316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>AU22+AV22</f>
        <v>0</v>
      </c>
      <c r="AX22" s="41">
        <f>AW22/5280</f>
        <v>0</v>
      </c>
    </row>
    <row r="23" spans="1:61" s="19" customFormat="1" x14ac:dyDescent="0.25">
      <c r="A23" s="23">
        <v>35212492</v>
      </c>
      <c r="B23" s="79" t="s">
        <v>5559</v>
      </c>
      <c r="C23" s="23"/>
      <c r="D23" s="23" t="s">
        <v>4871</v>
      </c>
      <c r="E23" s="19">
        <v>2020999</v>
      </c>
      <c r="F23" s="23">
        <v>3.05</v>
      </c>
      <c r="G23" s="37">
        <f>F23-K23</f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>IFERROR(U23*Q23,0)</f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>(AJ23*0.67+AK23*0.99+AL23+AM23*0.99)/(SUM(AJ23:AM23))*T23*(F23/R23)</f>
        <v>#VALUE!</v>
      </c>
      <c r="Y23" s="23"/>
      <c r="Z23" s="23" t="s">
        <v>5203</v>
      </c>
      <c r="AA23" s="19" t="s">
        <v>5535</v>
      </c>
      <c r="AB23" s="19" t="s">
        <v>5536</v>
      </c>
      <c r="AC23" s="19" t="s">
        <v>5536</v>
      </c>
      <c r="AD23" s="19" t="s">
        <v>4963</v>
      </c>
      <c r="AE23" s="23">
        <v>5793921</v>
      </c>
      <c r="AF23" s="23" t="s">
        <v>5210</v>
      </c>
      <c r="AG23" s="23">
        <v>119933735</v>
      </c>
      <c r="AH23" s="23">
        <v>35212492</v>
      </c>
      <c r="AI23" s="23" t="s">
        <v>5211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>AU23+AV23</f>
        <v>0</v>
      </c>
      <c r="AX23" s="41">
        <f>AW23/5280</f>
        <v>0</v>
      </c>
    </row>
    <row r="24" spans="1:61" s="19" customFormat="1" x14ac:dyDescent="0.25">
      <c r="A24" s="23">
        <v>35212403</v>
      </c>
      <c r="B24" s="79" t="s">
        <v>5559</v>
      </c>
      <c r="C24" s="23"/>
      <c r="D24" s="23" t="s">
        <v>4871</v>
      </c>
      <c r="E24" s="19">
        <v>2020999</v>
      </c>
      <c r="F24" s="23">
        <v>3.58</v>
      </c>
      <c r="G24" s="37">
        <f>F24-K24</f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>IFERROR(U24*Q24,0)</f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>(AJ24*0.67+AK24*0.99+AL24+AM24*0.99)/(SUM(AJ24:AM24))*T24*(F24/R24)</f>
        <v>#VALUE!</v>
      </c>
      <c r="X24" s="23"/>
      <c r="Y24" s="23"/>
      <c r="Z24" s="23" t="s">
        <v>5203</v>
      </c>
      <c r="AA24" s="19" t="s">
        <v>4914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5264</v>
      </c>
      <c r="AG24" s="23">
        <v>119982889</v>
      </c>
      <c r="AH24" s="23">
        <v>35212403</v>
      </c>
      <c r="AI24" s="23" t="s">
        <v>5265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>AU24+AV24</f>
        <v>0</v>
      </c>
      <c r="AX24" s="41">
        <f>AW24/5280</f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x14ac:dyDescent="0.25">
      <c r="A25" s="23">
        <v>35212412</v>
      </c>
      <c r="B25" s="79" t="s">
        <v>5559</v>
      </c>
      <c r="C25" s="23"/>
      <c r="D25" s="23" t="s">
        <v>4871</v>
      </c>
      <c r="E25" s="19">
        <v>2020999</v>
      </c>
      <c r="F25" s="23">
        <v>4.13</v>
      </c>
      <c r="G25" s="37">
        <f>F25-K25</f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>IFERROR(U25*Q25,0)</f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>(AJ25*0.67+AK25*0.99+AL25+AM25*0.99)/(SUM(AJ25:AM25))*T25*(F25/R25)</f>
        <v>#VALUE!</v>
      </c>
      <c r="X25" s="23"/>
      <c r="Y25" s="23"/>
      <c r="Z25" s="23" t="s">
        <v>5203</v>
      </c>
      <c r="AA25" s="19" t="s">
        <v>4949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5294</v>
      </c>
      <c r="AG25" s="23">
        <v>119983231</v>
      </c>
      <c r="AH25" s="23">
        <v>35212412</v>
      </c>
      <c r="AI25" s="23" t="s">
        <v>5295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>AU25+AV25</f>
        <v>0</v>
      </c>
      <c r="AX25" s="41">
        <f>AW25/5280</f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x14ac:dyDescent="0.25">
      <c r="A26" s="23">
        <v>35212480</v>
      </c>
      <c r="B26" s="79" t="s">
        <v>5559</v>
      </c>
      <c r="C26" s="23"/>
      <c r="D26" s="23" t="s">
        <v>4871</v>
      </c>
      <c r="E26" s="19">
        <v>2020999</v>
      </c>
      <c r="F26" s="23">
        <v>6.12</v>
      </c>
      <c r="G26" s="37">
        <f>F26-K26</f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>IFERROR(U26*Q26,0)</f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>(AJ26*0.67+AK26*0.99+AL26+AM26*0.99)/(SUM(AJ26:AM26))*T26*(F26/R26)</f>
        <v>#VALUE!</v>
      </c>
      <c r="Y26" s="23"/>
      <c r="Z26" s="23" t="s">
        <v>5203</v>
      </c>
      <c r="AA26" s="19" t="s">
        <v>5514</v>
      </c>
      <c r="AB26" s="19" t="s">
        <v>5247</v>
      </c>
      <c r="AC26" s="19" t="s">
        <v>5242</v>
      </c>
      <c r="AD26" s="19" t="s">
        <v>4877</v>
      </c>
      <c r="AE26" s="23">
        <v>5793918</v>
      </c>
      <c r="AF26" s="23" t="s">
        <v>5228</v>
      </c>
      <c r="AG26" s="23">
        <v>119983950</v>
      </c>
      <c r="AH26" s="23">
        <v>35212480</v>
      </c>
      <c r="AI26" s="23" t="s">
        <v>5229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>AU26+AV26</f>
        <v>0</v>
      </c>
      <c r="AX26" s="41">
        <f>AW26/5280</f>
        <v>0</v>
      </c>
    </row>
    <row r="27" spans="1:61" s="19" customFormat="1" x14ac:dyDescent="0.25">
      <c r="A27" s="23">
        <v>35212463</v>
      </c>
      <c r="B27" s="79" t="s">
        <v>5559</v>
      </c>
      <c r="C27" s="23"/>
      <c r="D27" s="23" t="s">
        <v>4871</v>
      </c>
      <c r="E27" s="19">
        <v>2020999</v>
      </c>
      <c r="F27" s="23">
        <v>7.5</v>
      </c>
      <c r="G27" s="37">
        <f>F27-K27</f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>IFERROR(U27*Q27,0)</f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>(AJ27*0.67+AK27*0.99+AL27+AM27*0.99)/(SUM(AJ27:AM27))*T27*(F27/R27)</f>
        <v>#VALUE!</v>
      </c>
      <c r="Y27" s="23"/>
      <c r="Z27" s="23" t="s">
        <v>5203</v>
      </c>
      <c r="AA27" s="19" t="s">
        <v>4944</v>
      </c>
      <c r="AB27" s="19" t="s">
        <v>4945</v>
      </c>
      <c r="AC27" s="19" t="s">
        <v>4945</v>
      </c>
      <c r="AD27" s="19" t="s">
        <v>4877</v>
      </c>
      <c r="AE27" s="23">
        <v>5793893</v>
      </c>
      <c r="AF27" s="23" t="s">
        <v>5285</v>
      </c>
      <c r="AG27" s="23">
        <v>119983582</v>
      </c>
      <c r="AH27" s="23">
        <v>35212463</v>
      </c>
      <c r="AI27" s="23" t="s">
        <v>5286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>AU27+AV27</f>
        <v>0</v>
      </c>
      <c r="AX27" s="41">
        <f>AW27/5280</f>
        <v>0</v>
      </c>
    </row>
    <row r="28" spans="1:61" s="19" customFormat="1" x14ac:dyDescent="0.25">
      <c r="A28" s="23">
        <v>35212413</v>
      </c>
      <c r="B28" s="79" t="s">
        <v>5559</v>
      </c>
      <c r="C28" s="23"/>
      <c r="D28" s="23" t="s">
        <v>4871</v>
      </c>
      <c r="E28" s="19">
        <v>2020999</v>
      </c>
      <c r="F28" s="23">
        <v>1.38</v>
      </c>
      <c r="G28" s="37">
        <f>F28-K28</f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>IFERROR(U28*Q28,0)</f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>(AJ28*0.67+AK28*0.99+AL28+AM28*0.99)/(SUM(AJ28:AM28))*T28*(F28/R28)</f>
        <v>#VALUE!</v>
      </c>
      <c r="X28" s="23"/>
      <c r="Y28" s="23"/>
      <c r="Z28" s="23" t="s">
        <v>5203</v>
      </c>
      <c r="AA28" s="19" t="s">
        <v>4949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5306</v>
      </c>
      <c r="AG28" s="23">
        <v>119983363</v>
      </c>
      <c r="AH28" s="23">
        <v>35212413</v>
      </c>
      <c r="AI28" s="23" t="s">
        <v>5307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>AU28+AV28</f>
        <v>0</v>
      </c>
      <c r="AX28" s="41">
        <f>AW28/5280</f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x14ac:dyDescent="0.25">
      <c r="A29" s="23">
        <v>35212496</v>
      </c>
      <c r="B29" s="79" t="s">
        <v>5559</v>
      </c>
      <c r="C29" s="23"/>
      <c r="D29" s="23" t="s">
        <v>4871</v>
      </c>
      <c r="E29" s="19">
        <v>2020999</v>
      </c>
      <c r="F29" s="23">
        <v>2.2599999999999998</v>
      </c>
      <c r="G29" s="37">
        <f>F29-K29</f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>IFERROR(U29*Q29,0)</f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>(AJ29*0.67+AK29*0.99+AL29+AM29*0.99)/(SUM(AJ29:AM29))*T29*(F29/R29)</f>
        <v>#VALUE!</v>
      </c>
      <c r="Y29" s="23"/>
      <c r="Z29" s="23" t="s">
        <v>5203</v>
      </c>
      <c r="AA29" s="19" t="s">
        <v>5497</v>
      </c>
      <c r="AB29" s="19" t="s">
        <v>5499</v>
      </c>
      <c r="AC29" s="19" t="s">
        <v>4876</v>
      </c>
      <c r="AD29" s="19" t="s">
        <v>4877</v>
      </c>
      <c r="AE29" s="23">
        <v>5793922</v>
      </c>
      <c r="AF29" s="23" t="s">
        <v>5255</v>
      </c>
      <c r="AG29" s="23">
        <v>119933736</v>
      </c>
      <c r="AH29" s="23">
        <v>35212496</v>
      </c>
      <c r="AI29" s="23" t="s">
        <v>5256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>AU29+AV29</f>
        <v>0</v>
      </c>
      <c r="AX29" s="41">
        <f>AW29/5280</f>
        <v>0</v>
      </c>
    </row>
    <row r="30" spans="1:61" s="19" customFormat="1" x14ac:dyDescent="0.25">
      <c r="A30" s="23">
        <v>35212471</v>
      </c>
      <c r="B30" s="79" t="s">
        <v>5559</v>
      </c>
      <c r="C30" s="23"/>
      <c r="D30" s="23" t="s">
        <v>4871</v>
      </c>
      <c r="E30" s="19">
        <v>2020999</v>
      </c>
      <c r="F30" s="23">
        <v>1.83</v>
      </c>
      <c r="G30" s="37">
        <f>F30-K30</f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>IFERROR(U30*Q30,0)</f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>(AJ30*0.67+AK30*0.99+AL30+AM30*0.99)/(SUM(AJ30:AM30))*T30*(F30/R30)</f>
        <v>#VALUE!</v>
      </c>
      <c r="Y30" s="23"/>
      <c r="Z30" s="23" t="s">
        <v>5203</v>
      </c>
      <c r="AA30" s="19" t="s">
        <v>5503</v>
      </c>
      <c r="AB30" s="19" t="s">
        <v>5038</v>
      </c>
      <c r="AC30" s="19" t="s">
        <v>5039</v>
      </c>
      <c r="AD30" s="19" t="s">
        <v>5039</v>
      </c>
      <c r="AE30" s="23">
        <v>5793896</v>
      </c>
      <c r="AF30" s="23" t="s">
        <v>5274</v>
      </c>
      <c r="AG30" s="23">
        <v>119983629</v>
      </c>
      <c r="AH30" s="23">
        <v>35212471</v>
      </c>
      <c r="AI30" s="23" t="s">
        <v>5275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>AU30+AV30</f>
        <v>0</v>
      </c>
      <c r="AX30" s="41">
        <f>AW30/5280</f>
        <v>0</v>
      </c>
    </row>
    <row r="31" spans="1:61" s="19" customFormat="1" x14ac:dyDescent="0.25">
      <c r="A31" s="23">
        <v>35212473</v>
      </c>
      <c r="B31" s="79" t="s">
        <v>5559</v>
      </c>
      <c r="C31" s="23"/>
      <c r="D31" s="23" t="s">
        <v>4871</v>
      </c>
      <c r="E31" s="19">
        <v>2020999</v>
      </c>
      <c r="F31" s="23">
        <v>2.21</v>
      </c>
      <c r="G31" s="37">
        <f>F31-K31</f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>IFERROR(U31*Q31,0)</f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>(AJ31*0.67+AK31*0.99+AL31+AM31*0.99)/(SUM(AJ31:AM31))*T31*(F31/R31)</f>
        <v>#VALUE!</v>
      </c>
      <c r="Y31" s="23"/>
      <c r="Z31" s="23" t="s">
        <v>5203</v>
      </c>
      <c r="AA31" s="19" t="s">
        <v>5173</v>
      </c>
      <c r="AB31" s="19" t="s">
        <v>5038</v>
      </c>
      <c r="AC31" s="19" t="s">
        <v>5039</v>
      </c>
      <c r="AD31" s="19" t="s">
        <v>5039</v>
      </c>
      <c r="AE31" s="23">
        <v>5793896</v>
      </c>
      <c r="AF31" s="23" t="s">
        <v>5220</v>
      </c>
      <c r="AG31" s="23">
        <v>119983704</v>
      </c>
      <c r="AH31" s="23">
        <v>35212473</v>
      </c>
      <c r="AI31" s="23" t="s">
        <v>5221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>AU31+AV31</f>
        <v>0</v>
      </c>
      <c r="AX31" s="41">
        <f>AW31/5280</f>
        <v>0</v>
      </c>
    </row>
    <row r="32" spans="1:61" s="19" customFormat="1" x14ac:dyDescent="0.25">
      <c r="A32" s="23">
        <v>35212416</v>
      </c>
      <c r="B32" s="79" t="s">
        <v>5559</v>
      </c>
      <c r="C32" s="23"/>
      <c r="D32" s="23" t="s">
        <v>4871</v>
      </c>
      <c r="E32" s="19">
        <v>2020999</v>
      </c>
      <c r="F32" s="23">
        <v>1.252</v>
      </c>
      <c r="G32" s="37">
        <f>F32-K32</f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>IFERROR(U32*Q32,0)</f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>(AJ32*0.67+AK32*0.99+AL32+AM32*0.99)/(SUM(AJ32:AM32))*T32*(F32/R32)</f>
        <v>#VALUE!</v>
      </c>
      <c r="Y32" s="23"/>
      <c r="Z32" s="23" t="s">
        <v>5203</v>
      </c>
      <c r="AA32" s="19" t="s">
        <v>4959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5233</v>
      </c>
      <c r="AG32" s="23">
        <v>119983454</v>
      </c>
      <c r="AH32" s="23">
        <v>35212416</v>
      </c>
      <c r="AI32" s="23" t="s">
        <v>5234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>AU32+AV32</f>
        <v>0</v>
      </c>
      <c r="AX32" s="41">
        <f>AW32/5280</f>
        <v>0</v>
      </c>
    </row>
    <row r="33" spans="1:61" s="19" customFormat="1" x14ac:dyDescent="0.25">
      <c r="A33" s="23">
        <v>35212486</v>
      </c>
      <c r="B33" s="79" t="s">
        <v>5559</v>
      </c>
      <c r="C33" s="23"/>
      <c r="D33" s="23" t="s">
        <v>4871</v>
      </c>
      <c r="E33" s="19">
        <v>2020999</v>
      </c>
      <c r="F33" s="23">
        <v>9.4600000000000009</v>
      </c>
      <c r="G33" s="37">
        <f>F33-K33</f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>IFERROR(U33*Q33,0)</f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>(AJ33*0.67+AK33*0.99+AL33+AM33*0.99)/(SUM(AJ33:AM33))*T33*(F33/R33)</f>
        <v>#VALUE!</v>
      </c>
      <c r="Y33" s="23"/>
      <c r="Z33" s="23" t="s">
        <v>5203</v>
      </c>
      <c r="AA33" s="19" t="s">
        <v>5495</v>
      </c>
      <c r="AB33" s="19" t="s">
        <v>5247</v>
      </c>
      <c r="AC33" s="19" t="s">
        <v>5242</v>
      </c>
      <c r="AD33" s="19" t="s">
        <v>4877</v>
      </c>
      <c r="AE33" s="23">
        <v>5793918</v>
      </c>
      <c r="AF33" s="23" t="s">
        <v>5248</v>
      </c>
      <c r="AG33" s="23">
        <v>119983955</v>
      </c>
      <c r="AH33" s="23">
        <v>35212486</v>
      </c>
      <c r="AI33" s="23" t="s">
        <v>5249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>AU33+AV33</f>
        <v>0</v>
      </c>
      <c r="AX33" s="41">
        <f>AW33/5280</f>
        <v>0</v>
      </c>
    </row>
    <row r="34" spans="1:61" s="19" customFormat="1" x14ac:dyDescent="0.25">
      <c r="A34" s="23">
        <v>35212407</v>
      </c>
      <c r="B34" s="79" t="s">
        <v>5559</v>
      </c>
      <c r="C34" s="23"/>
      <c r="D34" s="23" t="s">
        <v>4871</v>
      </c>
      <c r="E34" s="19">
        <v>2020999</v>
      </c>
      <c r="F34" s="23">
        <v>0.96</v>
      </c>
      <c r="G34" s="37">
        <f>F34-K34</f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>IFERROR(U34*Q34,0)</f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>(AJ34*0.67+AK34*0.99+AL34+AM34*0.99)/(SUM(AJ34:AM34))*T34*(F34/R34)</f>
        <v>#VALUE!</v>
      </c>
      <c r="X34" s="23"/>
      <c r="Y34" s="23"/>
      <c r="Z34" s="23" t="s">
        <v>5203</v>
      </c>
      <c r="AA34" s="19" t="s">
        <v>4949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5292</v>
      </c>
      <c r="AG34" s="23">
        <v>119983066</v>
      </c>
      <c r="AH34" s="23">
        <v>35212407</v>
      </c>
      <c r="AI34" s="23" t="s">
        <v>5293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>AU34+AV34</f>
        <v>0</v>
      </c>
      <c r="AX34" s="41">
        <f>AW34/5280</f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x14ac:dyDescent="0.25">
      <c r="A35" s="23">
        <v>35212462</v>
      </c>
      <c r="B35" s="79" t="s">
        <v>5559</v>
      </c>
      <c r="C35" s="23"/>
      <c r="D35" s="23" t="s">
        <v>4871</v>
      </c>
      <c r="E35" s="19">
        <v>2020999</v>
      </c>
      <c r="F35" s="23">
        <v>12.16</v>
      </c>
      <c r="G35" s="37">
        <f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>(AJ35*0.67+AK35*0.99+AL35+AM35*0.99)/(SUM(AJ35:AM35))*T35*(F35/R35)</f>
        <v>#VALUE!</v>
      </c>
      <c r="Y35" s="23"/>
      <c r="Z35" s="23" t="s">
        <v>5203</v>
      </c>
      <c r="AA35" s="19" t="s">
        <v>4944</v>
      </c>
      <c r="AB35" s="19" t="s">
        <v>4945</v>
      </c>
      <c r="AC35" s="19" t="s">
        <v>4945</v>
      </c>
      <c r="AD35" s="19" t="s">
        <v>4877</v>
      </c>
      <c r="AE35" s="23">
        <v>5793893</v>
      </c>
      <c r="AF35" s="23" t="s">
        <v>5283</v>
      </c>
      <c r="AG35" s="23">
        <v>119983580</v>
      </c>
      <c r="AH35" s="23">
        <v>35212462</v>
      </c>
      <c r="AI35" s="23" t="s">
        <v>5284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>AU35+AV35</f>
        <v>0</v>
      </c>
      <c r="AX35" s="41">
        <f>AW35/5280</f>
        <v>0</v>
      </c>
    </row>
    <row r="36" spans="1:61" s="19" customFormat="1" x14ac:dyDescent="0.25">
      <c r="A36" s="23">
        <v>35212417</v>
      </c>
      <c r="B36" s="79" t="s">
        <v>5559</v>
      </c>
      <c r="C36" s="23"/>
      <c r="D36" s="23" t="s">
        <v>4871</v>
      </c>
      <c r="E36" s="19">
        <v>2020999</v>
      </c>
      <c r="F36" s="23">
        <v>4.2</v>
      </c>
      <c r="G36" s="37">
        <f>F36-K36</f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>IFERROR(U36*Q36,0)</f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>(AJ36*0.67+AK36*0.99+AL36+AM36*0.99)/(SUM(AJ36:AM36))*T36*(F36/R36)</f>
        <v>#VALUE!</v>
      </c>
      <c r="Y36" s="23"/>
      <c r="Z36" s="23" t="s">
        <v>5203</v>
      </c>
      <c r="AA36" s="19" t="s">
        <v>4959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5235</v>
      </c>
      <c r="AG36" s="23">
        <v>119983463</v>
      </c>
      <c r="AH36" s="23">
        <v>35212417</v>
      </c>
      <c r="AI36" s="23" t="s">
        <v>5236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>AU36+AV36</f>
        <v>0</v>
      </c>
      <c r="AX36" s="41">
        <f>AW36/5280</f>
        <v>0</v>
      </c>
    </row>
    <row r="37" spans="1:61" s="19" customFormat="1" x14ac:dyDescent="0.25">
      <c r="A37" s="23">
        <v>35212410</v>
      </c>
      <c r="B37" s="79" t="s">
        <v>5559</v>
      </c>
      <c r="C37" s="23"/>
      <c r="D37" s="23" t="s">
        <v>4871</v>
      </c>
      <c r="E37" s="19">
        <v>2020999</v>
      </c>
      <c r="F37" s="23">
        <v>0.41</v>
      </c>
      <c r="G37" s="37">
        <f>F37-K37</f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>IFERROR(U37*Q37,0)</f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>(AJ37*0.67+AK37*0.99+AL37+AM37*0.99)/(SUM(AJ37:AM37))*T37*(F37/R37)</f>
        <v>#VALUE!</v>
      </c>
      <c r="X37" s="23"/>
      <c r="Y37" s="23"/>
      <c r="Z37" s="23" t="s">
        <v>5203</v>
      </c>
      <c r="AA37" s="19" t="s">
        <v>4949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5298</v>
      </c>
      <c r="AG37" s="23">
        <v>119983145</v>
      </c>
      <c r="AH37" s="23">
        <v>35212410</v>
      </c>
      <c r="AI37" s="23" t="s">
        <v>5299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>AU37+AV37</f>
        <v>0</v>
      </c>
      <c r="AX37" s="41">
        <f>AW37/5280</f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x14ac:dyDescent="0.25">
      <c r="A38" s="23">
        <v>35212419</v>
      </c>
      <c r="B38" s="79" t="s">
        <v>5559</v>
      </c>
      <c r="C38" s="23"/>
      <c r="D38" s="23" t="s">
        <v>4871</v>
      </c>
      <c r="E38" s="19">
        <v>2020999</v>
      </c>
      <c r="F38" s="23"/>
      <c r="G38" s="37">
        <f>F38-K38</f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>IFERROR(U38*Q38,0)</f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>(AJ38*0.67+AK38*0.99+AL38+AM38*0.99)/(SUM(AJ38:AM38))*T38*(F38/R38)</f>
        <v>#VALUE!</v>
      </c>
      <c r="Y38" s="23"/>
      <c r="Z38" s="23" t="s">
        <v>5203</v>
      </c>
      <c r="AA38" s="19" t="s">
        <v>5237</v>
      </c>
      <c r="AB38" s="19" t="s">
        <v>4945</v>
      </c>
      <c r="AC38" s="19" t="s">
        <v>4945</v>
      </c>
      <c r="AD38" s="19" t="s">
        <v>4877</v>
      </c>
      <c r="AE38" s="23">
        <v>5793893</v>
      </c>
      <c r="AF38" s="23" t="s">
        <v>5238</v>
      </c>
      <c r="AG38" s="23">
        <v>119983560</v>
      </c>
      <c r="AH38" s="23">
        <v>35212419</v>
      </c>
      <c r="AI38" s="23" t="s">
        <v>5239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>AU38+AV38</f>
        <v>0</v>
      </c>
      <c r="AX38" s="41">
        <f>AW38/5280</f>
        <v>0</v>
      </c>
    </row>
    <row r="39" spans="1:61" s="19" customFormat="1" x14ac:dyDescent="0.25">
      <c r="A39" s="23">
        <v>35212488</v>
      </c>
      <c r="B39" s="79" t="s">
        <v>5559</v>
      </c>
      <c r="C39" s="23"/>
      <c r="D39" s="23" t="s">
        <v>4871</v>
      </c>
      <c r="E39" s="19">
        <v>2020999</v>
      </c>
      <c r="F39" s="23">
        <v>4.74</v>
      </c>
      <c r="G39" s="37">
        <f>F39-K39</f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>IFERROR(U39*Q39,0)</f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>(AJ39*0.67+AK39*0.99+AL39+AM39*0.99)/(SUM(AJ39:AM39))*T39*(F39/R39)</f>
        <v>#VALUE!</v>
      </c>
      <c r="Y39" s="23"/>
      <c r="Z39" s="23" t="s">
        <v>5203</v>
      </c>
      <c r="AA39" s="19" t="s">
        <v>5495</v>
      </c>
      <c r="AB39" s="19" t="s">
        <v>5247</v>
      </c>
      <c r="AC39" s="19" t="s">
        <v>5242</v>
      </c>
      <c r="AD39" s="19" t="s">
        <v>4877</v>
      </c>
      <c r="AE39" s="23">
        <v>5793918</v>
      </c>
      <c r="AF39" s="23" t="s">
        <v>5251</v>
      </c>
      <c r="AG39" s="23">
        <v>119984001</v>
      </c>
      <c r="AH39" s="23">
        <v>35212488</v>
      </c>
      <c r="AI39" s="23" t="s">
        <v>5252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>AU39+AV39</f>
        <v>0</v>
      </c>
      <c r="AX39" s="41">
        <f>AW39/5280</f>
        <v>0</v>
      </c>
    </row>
    <row r="40" spans="1:61" s="19" customFormat="1" x14ac:dyDescent="0.25">
      <c r="A40" s="23">
        <v>35212478</v>
      </c>
      <c r="B40" s="79" t="s">
        <v>5559</v>
      </c>
      <c r="C40" s="23"/>
      <c r="D40" s="23" t="s">
        <v>4871</v>
      </c>
      <c r="E40" s="19">
        <v>2020999</v>
      </c>
      <c r="F40" s="23">
        <v>7.99</v>
      </c>
      <c r="G40" s="37">
        <f>F40-K40</f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>IFERROR(U40*Q40,0)</f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>(AJ40*0.67+AK40*0.99+AL40+AM40*0.99)/(SUM(AJ40:AM40))*T40*(F40/R40)</f>
        <v>#VALUE!</v>
      </c>
      <c r="Y40" s="23"/>
      <c r="Z40" s="23" t="s">
        <v>5203</v>
      </c>
      <c r="AA40" s="19" t="s">
        <v>5507</v>
      </c>
      <c r="AB40" s="19" t="s">
        <v>5122</v>
      </c>
      <c r="AC40" s="19" t="s">
        <v>5508</v>
      </c>
      <c r="AD40" s="19" t="s">
        <v>5039</v>
      </c>
      <c r="AE40" s="23">
        <v>5793897</v>
      </c>
      <c r="AF40" s="23" t="s">
        <v>5308</v>
      </c>
      <c r="AG40" s="23">
        <v>119933730</v>
      </c>
      <c r="AH40" s="23">
        <v>35212478</v>
      </c>
      <c r="AI40" s="23" t="s">
        <v>5309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>AU40+AV40</f>
        <v>0</v>
      </c>
      <c r="AX40" s="41">
        <f>AW40/5280</f>
        <v>0</v>
      </c>
    </row>
    <row r="41" spans="1:61" s="19" customFormat="1" x14ac:dyDescent="0.25">
      <c r="A41" s="23">
        <v>35212483</v>
      </c>
      <c r="B41" s="79" t="s">
        <v>5559</v>
      </c>
      <c r="C41" s="23"/>
      <c r="D41" s="23" t="s">
        <v>4871</v>
      </c>
      <c r="E41" s="19">
        <v>2020999</v>
      </c>
      <c r="F41" s="23">
        <v>12.53</v>
      </c>
      <c r="G41" s="37">
        <f>F41-K41</f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>IFERROR(U41*Q41,0)</f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>(AJ41*0.67+AK41*0.99+AL41+AM41*0.99)/(SUM(AJ41:AM41))*T41*(F41/R41)</f>
        <v>#VALUE!</v>
      </c>
      <c r="Y41" s="23"/>
      <c r="Z41" s="23" t="s">
        <v>5203</v>
      </c>
      <c r="AA41" s="19" t="s">
        <v>5514</v>
      </c>
      <c r="AB41" s="19" t="s">
        <v>5247</v>
      </c>
      <c r="AC41" s="19" t="s">
        <v>5242</v>
      </c>
      <c r="AD41" s="19" t="s">
        <v>4877</v>
      </c>
      <c r="AE41" s="23">
        <v>5793918</v>
      </c>
      <c r="AF41" s="23" t="s">
        <v>5317</v>
      </c>
      <c r="AG41" s="23">
        <v>119983953</v>
      </c>
      <c r="AH41" s="23">
        <v>35212483</v>
      </c>
      <c r="AI41" s="23" t="s">
        <v>5318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>AU41+AV41</f>
        <v>0</v>
      </c>
      <c r="AX41" s="41">
        <f>AW41/5280</f>
        <v>0</v>
      </c>
    </row>
    <row r="42" spans="1:61" s="19" customFormat="1" x14ac:dyDescent="0.25">
      <c r="A42" s="23">
        <v>35212414</v>
      </c>
      <c r="B42" s="79" t="s">
        <v>5559</v>
      </c>
      <c r="C42" s="23"/>
      <c r="D42" s="23" t="s">
        <v>4871</v>
      </c>
      <c r="E42" s="19">
        <v>2020999</v>
      </c>
      <c r="F42" s="23">
        <v>1.22</v>
      </c>
      <c r="G42" s="37">
        <f>F42-K42</f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>IFERROR(U42*Q42,0)</f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>(AJ42*0.67+AK42*0.99+AL42+AM42*0.99)/(SUM(AJ42:AM42))*T42*(F42/R42)</f>
        <v>#VALUE!</v>
      </c>
      <c r="X42" s="23"/>
      <c r="Y42" s="23"/>
      <c r="Z42" s="23" t="s">
        <v>5203</v>
      </c>
      <c r="AA42" s="19" t="s">
        <v>4949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5302</v>
      </c>
      <c r="AG42" s="23">
        <v>119983432</v>
      </c>
      <c r="AH42" s="23">
        <v>35212414</v>
      </c>
      <c r="AI42" s="23" t="s">
        <v>5303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>AU42+AV42</f>
        <v>0</v>
      </c>
      <c r="AX42" s="41">
        <f>AW42/5280</f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x14ac:dyDescent="0.25">
      <c r="A43" s="23">
        <v>35212409</v>
      </c>
      <c r="B43" s="79" t="s">
        <v>5559</v>
      </c>
      <c r="C43" s="23"/>
      <c r="D43" s="23" t="s">
        <v>4871</v>
      </c>
      <c r="E43" s="19">
        <v>2020999</v>
      </c>
      <c r="F43" s="23">
        <v>0.97</v>
      </c>
      <c r="G43" s="37">
        <f>F43-K43</f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>IFERROR(U43*Q43,0)</f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>(AJ43*0.67+AK43*0.99+AL43+AM43*0.99)/(SUM(AJ43:AM43))*T43*(F43/R43)</f>
        <v>#VALUE!</v>
      </c>
      <c r="X43" s="23"/>
      <c r="Y43" s="23"/>
      <c r="Z43" s="23" t="s">
        <v>5203</v>
      </c>
      <c r="AA43" s="19" t="s">
        <v>4949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5296</v>
      </c>
      <c r="AG43" s="23">
        <v>119983129</v>
      </c>
      <c r="AH43" s="23">
        <v>35212409</v>
      </c>
      <c r="AI43" s="23" t="s">
        <v>5297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>AU43+AV43</f>
        <v>0</v>
      </c>
      <c r="AX43" s="41">
        <f>AW43/5280</f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x14ac:dyDescent="0.25">
      <c r="A44" s="23">
        <v>35212415</v>
      </c>
      <c r="B44" s="79" t="s">
        <v>5559</v>
      </c>
      <c r="C44" s="23"/>
      <c r="D44" s="23" t="s">
        <v>4871</v>
      </c>
      <c r="E44" s="19">
        <v>2020999</v>
      </c>
      <c r="F44" s="23">
        <v>2.31</v>
      </c>
      <c r="G44" s="37">
        <f>F44-K44</f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>IFERROR(U44*Q44,0)</f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>(AJ44*0.67+AK44*0.99+AL44+AM44*0.99)/(SUM(AJ44:AM44))*T44*(F44/R44)</f>
        <v>#VALUE!</v>
      </c>
      <c r="X44" s="23"/>
      <c r="Y44" s="23"/>
      <c r="Z44" s="23" t="s">
        <v>5203</v>
      </c>
      <c r="AA44" s="19" t="s">
        <v>4949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5304</v>
      </c>
      <c r="AG44" s="23">
        <v>119983433</v>
      </c>
      <c r="AH44" s="23">
        <v>35212415</v>
      </c>
      <c r="AI44" s="23" t="s">
        <v>5305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>AU44+AV44</f>
        <v>0</v>
      </c>
      <c r="AX44" s="41">
        <f>AW44/5280</f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x14ac:dyDescent="0.25">
      <c r="A45" s="23">
        <v>35212467</v>
      </c>
      <c r="B45" s="79" t="s">
        <v>5559</v>
      </c>
      <c r="C45" s="23"/>
      <c r="D45" s="23" t="s">
        <v>4871</v>
      </c>
      <c r="E45" s="19">
        <v>2020999</v>
      </c>
      <c r="F45" s="23">
        <v>1.22</v>
      </c>
      <c r="G45" s="37">
        <f>F45-K45</f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>IFERROR(U45*Q45,0)</f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>(AJ45*0.67+AK45*0.99+AL45+AM45*0.99)/(SUM(AJ45:AM45))*T45*(F45/R45)</f>
        <v>#VALUE!</v>
      </c>
      <c r="Y45" s="23"/>
      <c r="Z45" s="23" t="s">
        <v>5203</v>
      </c>
      <c r="AA45" s="19" t="s">
        <v>5498</v>
      </c>
      <c r="AB45" s="19" t="s">
        <v>5496</v>
      </c>
      <c r="AC45" s="19" t="s">
        <v>5039</v>
      </c>
      <c r="AD45" s="19" t="s">
        <v>5039</v>
      </c>
      <c r="AE45" s="23">
        <v>5793895</v>
      </c>
      <c r="AF45" s="23" t="s">
        <v>5253</v>
      </c>
      <c r="AG45" s="23">
        <v>119933604</v>
      </c>
      <c r="AH45" s="23">
        <v>35212467</v>
      </c>
      <c r="AI45" s="23" t="s">
        <v>5254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>AU45+AV45</f>
        <v>0</v>
      </c>
      <c r="AX45" s="41">
        <f>AW45/5280</f>
        <v>0</v>
      </c>
    </row>
    <row r="46" spans="1:61" s="19" customFormat="1" x14ac:dyDescent="0.25">
      <c r="A46" s="23">
        <v>35212469</v>
      </c>
      <c r="B46" s="79" t="s">
        <v>5559</v>
      </c>
      <c r="C46" s="23"/>
      <c r="D46" s="23" t="s">
        <v>4871</v>
      </c>
      <c r="E46" s="19">
        <v>2020999</v>
      </c>
      <c r="F46" s="23">
        <v>5.23</v>
      </c>
      <c r="G46" s="37">
        <f>F46-K46</f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>IFERROR(U46*Q46,0)</f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>(AJ46*0.67+AK46*0.99+AL46+AM46*0.99)/(SUM(AJ46:AM46))*T46*(F46/R46)</f>
        <v>#VALUE!</v>
      </c>
      <c r="Y46" s="23"/>
      <c r="Z46" s="23" t="s">
        <v>5203</v>
      </c>
      <c r="AA46" s="19" t="s">
        <v>5503</v>
      </c>
      <c r="AB46" s="19" t="s">
        <v>5038</v>
      </c>
      <c r="AC46" s="19" t="s">
        <v>5039</v>
      </c>
      <c r="AD46" s="19" t="s">
        <v>5039</v>
      </c>
      <c r="AE46" s="23">
        <v>5793896</v>
      </c>
      <c r="AF46" s="23" t="s">
        <v>5270</v>
      </c>
      <c r="AG46" s="23">
        <v>119983626</v>
      </c>
      <c r="AH46" s="23">
        <v>35212469</v>
      </c>
      <c r="AI46" s="23" t="s">
        <v>5271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>AU46+AV46</f>
        <v>0</v>
      </c>
      <c r="AX46" s="41">
        <f>AW46/5280</f>
        <v>0</v>
      </c>
    </row>
    <row r="47" spans="1:61" s="19" customFormat="1" x14ac:dyDescent="0.25">
      <c r="A47" s="23">
        <v>35212493</v>
      </c>
      <c r="B47" s="79" t="s">
        <v>5559</v>
      </c>
      <c r="C47" s="23"/>
      <c r="D47" s="23" t="s">
        <v>4871</v>
      </c>
      <c r="E47" s="19">
        <v>2020999</v>
      </c>
      <c r="F47" s="23">
        <v>8.92</v>
      </c>
      <c r="G47" s="37">
        <f>F47-K47</f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>IFERROR(U47*Q47,0)</f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>(AJ47*0.67+AK47*0.99+AL47+AM47*0.99)/(SUM(AJ47:AM47))*T47*(F47/R47)</f>
        <v>#VALUE!</v>
      </c>
      <c r="Y47" s="23"/>
      <c r="Z47" s="23" t="s">
        <v>5203</v>
      </c>
      <c r="AA47" s="19" t="s">
        <v>5535</v>
      </c>
      <c r="AB47" s="19" t="s">
        <v>5536</v>
      </c>
      <c r="AC47" s="19" t="s">
        <v>5536</v>
      </c>
      <c r="AD47" s="19" t="s">
        <v>4963</v>
      </c>
      <c r="AE47" s="23">
        <v>5793921</v>
      </c>
      <c r="AF47" s="23" t="s">
        <v>5212</v>
      </c>
      <c r="AG47" s="23">
        <v>119984006</v>
      </c>
      <c r="AH47" s="23">
        <v>35212493</v>
      </c>
      <c r="AI47" s="23" t="s">
        <v>5213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>AU47+AV47</f>
        <v>0</v>
      </c>
      <c r="AX47" s="41">
        <f>AW47/5280</f>
        <v>0</v>
      </c>
    </row>
    <row r="48" spans="1:61" s="19" customFormat="1" x14ac:dyDescent="0.25">
      <c r="A48" s="23">
        <v>35212470</v>
      </c>
      <c r="B48" s="79" t="s">
        <v>5559</v>
      </c>
      <c r="C48" s="23"/>
      <c r="D48" s="23" t="s">
        <v>4871</v>
      </c>
      <c r="E48" s="19">
        <v>2020999</v>
      </c>
      <c r="F48" s="23">
        <v>0.77</v>
      </c>
      <c r="G48" s="37">
        <f>F48-K48</f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>IFERROR(U48*Q48,0)</f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>(AJ48*0.67+AK48*0.99+AL48+AM48*0.99)/(SUM(AJ48:AM48))*T48*(F48/R48)</f>
        <v>#VALUE!</v>
      </c>
      <c r="Y48" s="23"/>
      <c r="Z48" s="23" t="s">
        <v>5203</v>
      </c>
      <c r="AA48" s="19" t="s">
        <v>5173</v>
      </c>
      <c r="AB48" s="19" t="s">
        <v>5038</v>
      </c>
      <c r="AC48" s="19" t="s">
        <v>5039</v>
      </c>
      <c r="AD48" s="19" t="s">
        <v>5039</v>
      </c>
      <c r="AE48" s="23">
        <v>5793896</v>
      </c>
      <c r="AF48" s="23" t="s">
        <v>5276</v>
      </c>
      <c r="AG48" s="23">
        <v>119983627</v>
      </c>
      <c r="AH48" s="23">
        <v>35212470</v>
      </c>
      <c r="AI48" s="23" t="s">
        <v>5277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>AU48+AV48</f>
        <v>0</v>
      </c>
      <c r="AX48" s="41">
        <f>AW48/5280</f>
        <v>0</v>
      </c>
    </row>
    <row r="49" spans="1:63" s="19" customFormat="1" x14ac:dyDescent="0.25">
      <c r="A49" s="23">
        <v>35212461</v>
      </c>
      <c r="B49" s="79" t="s">
        <v>5559</v>
      </c>
      <c r="C49" s="23"/>
      <c r="D49" s="23" t="s">
        <v>4871</v>
      </c>
      <c r="E49" s="19">
        <v>2020999</v>
      </c>
      <c r="F49" s="23"/>
      <c r="G49" s="37">
        <f>F49-K49</f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>IFERROR(U49*Q49,0)</f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>(AJ49*0.67+AK49*0.99+AL49+AM49*0.99)/(SUM(AJ49:AM49))*T49*(F49/R49)</f>
        <v>#VALUE!</v>
      </c>
      <c r="Y49" s="23"/>
      <c r="Z49" s="23" t="s">
        <v>5203</v>
      </c>
      <c r="AA49" s="19" t="s">
        <v>4944</v>
      </c>
      <c r="AB49" s="19" t="s">
        <v>4945</v>
      </c>
      <c r="AC49" s="19" t="s">
        <v>4945</v>
      </c>
      <c r="AD49" s="19" t="s">
        <v>4877</v>
      </c>
      <c r="AE49" s="23">
        <v>5793893</v>
      </c>
      <c r="AF49" s="23" t="s">
        <v>5281</v>
      </c>
      <c r="AG49" s="23">
        <v>119983567</v>
      </c>
      <c r="AH49" s="23">
        <v>35212461</v>
      </c>
      <c r="AI49" s="23" t="s">
        <v>5282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>AU49+AV49</f>
        <v>0</v>
      </c>
      <c r="AX49" s="41">
        <f>AW49/5280</f>
        <v>0</v>
      </c>
    </row>
    <row r="50" spans="1:63" s="19" customFormat="1" x14ac:dyDescent="0.25">
      <c r="A50" s="23">
        <v>35212474</v>
      </c>
      <c r="B50" s="79" t="s">
        <v>5559</v>
      </c>
      <c r="C50" s="23"/>
      <c r="D50" s="23" t="s">
        <v>4871</v>
      </c>
      <c r="E50" s="19">
        <v>2020999</v>
      </c>
      <c r="F50" s="23">
        <v>0.52</v>
      </c>
      <c r="G50" s="37">
        <f>F50-K50</f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>IFERROR(U50*Q50,0)</f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>(AJ50*0.67+AK50*0.99+AL50+AM50*0.99)/(SUM(AJ50:AM50))*T50*(F50/R50)</f>
        <v>#VALUE!</v>
      </c>
      <c r="Y50" s="23"/>
      <c r="Z50" s="23" t="s">
        <v>5203</v>
      </c>
      <c r="AA50" s="19" t="s">
        <v>5537</v>
      </c>
      <c r="AB50" s="19" t="s">
        <v>5038</v>
      </c>
      <c r="AC50" s="19" t="s">
        <v>5039</v>
      </c>
      <c r="AD50" s="19" t="s">
        <v>5039</v>
      </c>
      <c r="AE50" s="23">
        <v>5793896</v>
      </c>
      <c r="AF50" s="23" t="s">
        <v>5222</v>
      </c>
      <c r="AG50" s="23">
        <v>119983709</v>
      </c>
      <c r="AH50" s="23">
        <v>35212474</v>
      </c>
      <c r="AI50" s="23" t="s">
        <v>5223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>AU50+AV50</f>
        <v>0</v>
      </c>
      <c r="AX50" s="41">
        <f>AW50/5280</f>
        <v>0</v>
      </c>
    </row>
    <row r="51" spans="1:63" s="19" customFormat="1" x14ac:dyDescent="0.25">
      <c r="A51" s="23">
        <v>35212472</v>
      </c>
      <c r="B51" s="79" t="s">
        <v>5559</v>
      </c>
      <c r="C51" s="23"/>
      <c r="D51" s="23" t="s">
        <v>4871</v>
      </c>
      <c r="E51" s="19">
        <v>2020999</v>
      </c>
      <c r="F51" s="23">
        <v>2.5099999999999998</v>
      </c>
      <c r="G51" s="37">
        <f>F51-K51</f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>IFERROR(U51*Q51,0)</f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>(AJ51*0.67+AK51*0.99+AL51+AM51*0.99)/(SUM(AJ51:AM51))*T51*(F51/R51)</f>
        <v>#VALUE!</v>
      </c>
      <c r="Y51" s="23"/>
      <c r="Z51" s="23" t="s">
        <v>5203</v>
      </c>
      <c r="AA51" s="19" t="s">
        <v>5537</v>
      </c>
      <c r="AB51" s="19" t="s">
        <v>5038</v>
      </c>
      <c r="AC51" s="19" t="s">
        <v>5039</v>
      </c>
      <c r="AD51" s="19" t="s">
        <v>5039</v>
      </c>
      <c r="AE51" s="23">
        <v>5793896</v>
      </c>
      <c r="AF51" s="23" t="s">
        <v>5224</v>
      </c>
      <c r="AG51" s="23">
        <v>119983702</v>
      </c>
      <c r="AH51" s="23">
        <v>35212472</v>
      </c>
      <c r="AI51" s="23" t="s">
        <v>5225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>AU51+AV51</f>
        <v>0</v>
      </c>
      <c r="AX51" s="41">
        <f>AW51/5280</f>
        <v>0</v>
      </c>
    </row>
    <row r="52" spans="1:63" s="19" customFormat="1" x14ac:dyDescent="0.25">
      <c r="A52" s="23">
        <v>35212475</v>
      </c>
      <c r="B52" s="79" t="s">
        <v>5559</v>
      </c>
      <c r="C52" s="23"/>
      <c r="D52" s="23" t="s">
        <v>4871</v>
      </c>
      <c r="E52" s="19">
        <v>2020999</v>
      </c>
      <c r="F52" s="23">
        <v>3.09</v>
      </c>
      <c r="G52" s="37">
        <f>F52-K52</f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>IFERROR(U52*Q52,0)</f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>(AJ52*0.67+AK52*0.99+AL52+AM52*0.99)/(SUM(AJ52:AM52))*T52*(F52/R52)</f>
        <v>#VALUE!</v>
      </c>
      <c r="Y52" s="23"/>
      <c r="Z52" s="23" t="s">
        <v>5203</v>
      </c>
      <c r="AA52" s="19" t="s">
        <v>5173</v>
      </c>
      <c r="AB52" s="19" t="s">
        <v>5038</v>
      </c>
      <c r="AC52" s="19" t="s">
        <v>5039</v>
      </c>
      <c r="AD52" s="19" t="s">
        <v>5039</v>
      </c>
      <c r="AE52" s="23">
        <v>5793896</v>
      </c>
      <c r="AF52" s="23" t="s">
        <v>5214</v>
      </c>
      <c r="AG52" s="23">
        <v>119983868</v>
      </c>
      <c r="AH52" s="23">
        <v>35212475</v>
      </c>
      <c r="AI52" s="23" t="s">
        <v>5215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>AU52+AV52</f>
        <v>0</v>
      </c>
      <c r="AX52" s="41">
        <f>AW52/5280</f>
        <v>0</v>
      </c>
    </row>
    <row r="53" spans="1:63" s="19" customFormat="1" x14ac:dyDescent="0.25">
      <c r="A53" s="23">
        <v>35212477</v>
      </c>
      <c r="B53" s="79" t="s">
        <v>5559</v>
      </c>
      <c r="C53" s="23"/>
      <c r="D53" s="23" t="s">
        <v>4871</v>
      </c>
      <c r="E53" s="19">
        <v>2020999</v>
      </c>
      <c r="F53" s="23">
        <v>0.59</v>
      </c>
      <c r="G53" s="37">
        <f>F53-K53</f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>IFERROR(U53*Q53,0)</f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>(AJ53*0.67+AK53*0.99+AL53+AM53*0.99)/(SUM(AJ53:AM53))*T53*(F53/R53)</f>
        <v>#VALUE!</v>
      </c>
      <c r="Y53" s="23"/>
      <c r="Z53" s="23" t="s">
        <v>5203</v>
      </c>
      <c r="AA53" s="19" t="s">
        <v>5173</v>
      </c>
      <c r="AB53" s="19" t="s">
        <v>5038</v>
      </c>
      <c r="AC53" s="19" t="s">
        <v>5039</v>
      </c>
      <c r="AD53" s="19" t="s">
        <v>5039</v>
      </c>
      <c r="AE53" s="23">
        <v>5793896</v>
      </c>
      <c r="AF53" s="23" t="s">
        <v>5216</v>
      </c>
      <c r="AG53" s="23">
        <v>119983869</v>
      </c>
      <c r="AH53" s="23">
        <v>35212477</v>
      </c>
      <c r="AI53" s="23" t="s">
        <v>5217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>AU53+AV53</f>
        <v>0</v>
      </c>
      <c r="AX53" s="41">
        <f>AW53/5280</f>
        <v>0</v>
      </c>
    </row>
    <row r="54" spans="1:63" s="19" customFormat="1" x14ac:dyDescent="0.25">
      <c r="A54" s="23">
        <v>35212468</v>
      </c>
      <c r="B54" s="79" t="s">
        <v>5559</v>
      </c>
      <c r="C54" s="23"/>
      <c r="D54" s="23" t="s">
        <v>4871</v>
      </c>
      <c r="E54" s="19">
        <v>2020999</v>
      </c>
      <c r="F54" s="23">
        <v>0.89</v>
      </c>
      <c r="G54" s="37">
        <f>F54-K54</f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>IFERROR(U54*Q54,0)</f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>(AJ54*0.67+AK54*0.99+AL54+AM54*0.99)/(SUM(AJ54:AM54))*T54*(F54/R54)</f>
        <v>#VALUE!</v>
      </c>
      <c r="Y54" s="23"/>
      <c r="Z54" s="23" t="s">
        <v>5203</v>
      </c>
      <c r="AA54" s="19" t="s">
        <v>5173</v>
      </c>
      <c r="AB54" s="19" t="s">
        <v>5038</v>
      </c>
      <c r="AC54" s="19" t="s">
        <v>5039</v>
      </c>
      <c r="AD54" s="19" t="s">
        <v>5039</v>
      </c>
      <c r="AE54" s="23">
        <v>5793896</v>
      </c>
      <c r="AF54" s="23" t="s">
        <v>5272</v>
      </c>
      <c r="AG54" s="23">
        <v>119933606</v>
      </c>
      <c r="AH54" s="23">
        <v>35212468</v>
      </c>
      <c r="AI54" s="23" t="s">
        <v>5273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>AU54+AV54</f>
        <v>0</v>
      </c>
      <c r="AX54" s="41">
        <f>AW54/5280</f>
        <v>0</v>
      </c>
    </row>
    <row r="55" spans="1:63" s="19" customFormat="1" x14ac:dyDescent="0.25">
      <c r="A55" s="23">
        <v>35212476</v>
      </c>
      <c r="B55" s="79" t="s">
        <v>5559</v>
      </c>
      <c r="C55" s="23"/>
      <c r="D55" s="23" t="s">
        <v>4871</v>
      </c>
      <c r="E55" s="19">
        <v>2020999</v>
      </c>
      <c r="F55" s="23">
        <v>2.58</v>
      </c>
      <c r="G55" s="37">
        <f>F55-K55</f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>IFERROR(U55*Q55,0)</f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>(AJ55*0.67+AK55*0.99+AL55+AM55*0.99)/(SUM(AJ55:AM55))*T55*(F55/R55)</f>
        <v>#VALUE!</v>
      </c>
      <c r="Y55" s="23"/>
      <c r="Z55" s="23" t="s">
        <v>5203</v>
      </c>
      <c r="AA55" s="19" t="s">
        <v>5173</v>
      </c>
      <c r="AB55" s="19" t="s">
        <v>5038</v>
      </c>
      <c r="AC55" s="19" t="s">
        <v>5039</v>
      </c>
      <c r="AD55" s="19" t="s">
        <v>5039</v>
      </c>
      <c r="AE55" s="23">
        <v>5793896</v>
      </c>
      <c r="AF55" s="23" t="s">
        <v>5218</v>
      </c>
      <c r="AG55" s="23">
        <v>119985051</v>
      </c>
      <c r="AH55" s="23">
        <v>35212476</v>
      </c>
      <c r="AI55" s="23" t="s">
        <v>5219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>AU55+AV55</f>
        <v>0</v>
      </c>
      <c r="AX55" s="41">
        <f>AW55/5280</f>
        <v>0</v>
      </c>
    </row>
    <row r="56" spans="1:63" s="19" customFormat="1" x14ac:dyDescent="0.25">
      <c r="A56" s="59">
        <v>74022384</v>
      </c>
      <c r="B56" s="106" t="s">
        <v>5463</v>
      </c>
      <c r="C56" s="23">
        <v>20</v>
      </c>
      <c r="D56" s="23" t="s">
        <v>4871</v>
      </c>
      <c r="E56" s="110">
        <v>2021001</v>
      </c>
      <c r="F56" s="23">
        <v>5.4459999999999997</v>
      </c>
      <c r="G56" s="37">
        <f>F56-K56</f>
        <v>4.4859999999999998</v>
      </c>
      <c r="H56" s="20">
        <v>2020</v>
      </c>
      <c r="I56" s="37">
        <v>0.96</v>
      </c>
      <c r="J56" s="37"/>
      <c r="K56" s="37">
        <f>SUM(I56:J56)</f>
        <v>0.96</v>
      </c>
      <c r="L56" s="21">
        <v>6621813.6399999997</v>
      </c>
      <c r="M56" s="23" t="s">
        <v>4966</v>
      </c>
      <c r="N56" s="22">
        <v>42751113</v>
      </c>
      <c r="O56" s="19" t="s">
        <v>1398</v>
      </c>
      <c r="P56" s="23" t="s">
        <v>1400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5.4964920301106721</v>
      </c>
      <c r="S56" s="23">
        <f>IFERROR(VLOOKUP(P56,[47]conductor_pz_summary_hftd_23_re!$B$2:$Q$3636,14,FALSE),0)</f>
        <v>481</v>
      </c>
      <c r="T56" s="23">
        <f>IFERROR(U56*Q56,0)</f>
        <v>7.7176979971943318</v>
      </c>
      <c r="U56" s="23">
        <f>IFERROR(VLOOKUP(P56,[47]conductor_pz_summary_hftd_23_re!$B$2:$Q$3636,13,FALSE),0)</f>
        <v>0.15750404075906799</v>
      </c>
      <c r="V56" s="79">
        <f>IFERROR(VLOOKUP(P56,conductor_pz_summary_hftd_23_re!$B$2:$N$3636,13,FALSE),0)</f>
        <v>799</v>
      </c>
      <c r="W56" s="65">
        <f>(AJ56*0.67+AK56*0.99+AL56+AM56*0.99)/(SUM(AJ56:AM56))*T56*(F56/R56)</f>
        <v>5.1233569796617369</v>
      </c>
      <c r="X56" s="23">
        <v>209</v>
      </c>
      <c r="Y56" s="23" t="s">
        <v>4873</v>
      </c>
      <c r="Z56" s="23" t="s">
        <v>4888</v>
      </c>
      <c r="AA56" s="19" t="s">
        <v>5193</v>
      </c>
      <c r="AB56" s="19" t="s">
        <v>4945</v>
      </c>
      <c r="AC56" s="19" t="s">
        <v>4945</v>
      </c>
      <c r="AD56" s="19" t="s">
        <v>4877</v>
      </c>
      <c r="AE56" s="23">
        <v>5782860</v>
      </c>
      <c r="AF56" s="23" t="s">
        <v>5194</v>
      </c>
      <c r="AG56" s="23">
        <v>114753320</v>
      </c>
      <c r="AH56" s="59">
        <v>74022384</v>
      </c>
      <c r="AI56" s="23" t="s">
        <v>5195</v>
      </c>
      <c r="AJ56" s="23">
        <v>28754</v>
      </c>
      <c r="AK56" s="23">
        <v>0</v>
      </c>
      <c r="AL56" s="23">
        <v>0</v>
      </c>
      <c r="AM56" s="23">
        <v>0</v>
      </c>
      <c r="AO56" s="60" t="s">
        <v>5196</v>
      </c>
      <c r="AP56" s="23">
        <v>29567.999999999996</v>
      </c>
      <c r="AQ56" s="41">
        <v>5.6</v>
      </c>
      <c r="AR56" s="42">
        <v>5959500</v>
      </c>
      <c r="AS56" s="23" t="s">
        <v>5013</v>
      </c>
      <c r="AT56" s="19">
        <v>0</v>
      </c>
      <c r="AU56" s="19">
        <v>0</v>
      </c>
      <c r="AV56" s="19">
        <v>29040</v>
      </c>
      <c r="AW56" s="23">
        <f>SUM(AT56:AV56)</f>
        <v>29040</v>
      </c>
      <c r="AX56" s="41">
        <f>AW56/5280</f>
        <v>5.5</v>
      </c>
      <c r="AY56" s="44">
        <v>10560000</v>
      </c>
      <c r="AZ56" s="57" t="s">
        <v>5197</v>
      </c>
      <c r="BA56" s="57" t="s">
        <v>5198</v>
      </c>
      <c r="BB56" s="23"/>
      <c r="BC56" s="23"/>
      <c r="BD56" s="23">
        <v>28754</v>
      </c>
      <c r="BE56" s="23">
        <v>28754</v>
      </c>
      <c r="BF56" s="41">
        <f>28754/5280</f>
        <v>5.4458333333333337</v>
      </c>
      <c r="BG56" s="45"/>
      <c r="BH56" s="42"/>
      <c r="BI56" s="46"/>
    </row>
    <row r="57" spans="1:63" s="19" customFormat="1" x14ac:dyDescent="0.25">
      <c r="A57" s="35">
        <v>35157845</v>
      </c>
      <c r="B57" s="106" t="s">
        <v>5463</v>
      </c>
      <c r="C57" s="23">
        <v>20</v>
      </c>
      <c r="D57" s="23" t="s">
        <v>4871</v>
      </c>
      <c r="E57" s="110">
        <v>2021002</v>
      </c>
      <c r="F57" s="23">
        <v>1.27</v>
      </c>
      <c r="G57" s="37">
        <f>F57-K57</f>
        <v>1.27</v>
      </c>
      <c r="H57" s="20">
        <v>2020</v>
      </c>
      <c r="I57" s="37">
        <v>0</v>
      </c>
      <c r="J57" s="37"/>
      <c r="K57" s="37">
        <f>SUM(I57:J57)</f>
        <v>0</v>
      </c>
      <c r="L57" s="21">
        <v>415082.18</v>
      </c>
      <c r="M57" s="23" t="s">
        <v>4966</v>
      </c>
      <c r="N57" s="22">
        <v>43432105</v>
      </c>
      <c r="O57" s="19" t="s">
        <v>4071</v>
      </c>
      <c r="P57" s="23" t="s">
        <v>4080</v>
      </c>
      <c r="Q57" s="38">
        <f>IFERROR(VLOOKUP(P57,[47]conductor_pz_summary_hftd_23_re!$B$2:$Q$3636,8,FALSE),0)</f>
        <v>151</v>
      </c>
      <c r="R57" s="38">
        <f>IFERROR(VLOOKUP(P57,[48]conductor_pz_summary_hftd_23_re!$B$2:$H$3636,7,0),0)/1609</f>
        <v>17.173684235426602</v>
      </c>
      <c r="S57" s="23">
        <f>IFERROR(VLOOKUP(P57,[47]conductor_pz_summary_hftd_23_re!$B$2:$Q$3636,14,FALSE),0)</f>
        <v>1361</v>
      </c>
      <c r="T57" s="23">
        <f>IFERROR(U57*Q57,0)</f>
        <v>5.4002355090536405</v>
      </c>
      <c r="U57" s="23">
        <f>IFERROR(VLOOKUP(P57,[47]conductor_pz_summary_hftd_23_re!$B$2:$Q$3636,13,FALSE),0)</f>
        <v>3.5763149066580402E-2</v>
      </c>
      <c r="V57" s="79">
        <f>IFERROR(VLOOKUP(P57,conductor_pz_summary_hftd_23_re!$B$2:$N$3636,13,FALSE),0)</f>
        <v>1546</v>
      </c>
      <c r="W57" s="65">
        <f>(AJ57*0.67+AK57*0.99+AL57+AM57*0.99)/(SUM(AJ57:AM57))*T57*(F57/R57)</f>
        <v>0.26756404343191881</v>
      </c>
      <c r="X57" s="23">
        <v>104</v>
      </c>
      <c r="Y57" s="23" t="s">
        <v>4912</v>
      </c>
      <c r="Z57" s="23" t="s">
        <v>4913</v>
      </c>
      <c r="AA57" s="19" t="s">
        <v>4949</v>
      </c>
      <c r="AB57" s="19" t="s">
        <v>4902</v>
      </c>
      <c r="AC57" s="19" t="s">
        <v>4883</v>
      </c>
      <c r="AD57" s="19" t="s">
        <v>4903</v>
      </c>
      <c r="AE57" s="23">
        <v>5784869</v>
      </c>
      <c r="AF57" s="23" t="s">
        <v>5130</v>
      </c>
      <c r="AG57" s="23">
        <v>116952175</v>
      </c>
      <c r="AH57" s="35">
        <v>35157845</v>
      </c>
      <c r="AI57" s="23" t="s">
        <v>5131</v>
      </c>
      <c r="AJ57" s="23">
        <v>6693</v>
      </c>
      <c r="AK57" s="23">
        <v>0</v>
      </c>
      <c r="AL57" s="23">
        <v>0</v>
      </c>
      <c r="AM57" s="23">
        <v>0</v>
      </c>
      <c r="AO57" s="23" t="s">
        <v>5013</v>
      </c>
      <c r="AP57" s="23"/>
      <c r="AQ57" s="41"/>
      <c r="AR57" s="42"/>
      <c r="AS57" s="23" t="s">
        <v>5013</v>
      </c>
      <c r="AT57" s="19">
        <v>0</v>
      </c>
      <c r="AU57" s="19">
        <v>0</v>
      </c>
      <c r="AV57" s="19">
        <v>6705.6</v>
      </c>
      <c r="AW57" s="23">
        <f>SUM(AT57:AV57)</f>
        <v>6705.6</v>
      </c>
      <c r="AX57" s="41">
        <f>AW57/5280</f>
        <v>1.27</v>
      </c>
      <c r="AY57" s="44">
        <v>2438400</v>
      </c>
      <c r="AZ57" s="51" t="s">
        <v>5132</v>
      </c>
      <c r="BA57" s="62" t="s">
        <v>5133</v>
      </c>
      <c r="BB57" s="23">
        <v>0</v>
      </c>
      <c r="BC57" s="23">
        <v>0</v>
      </c>
      <c r="BD57" s="23">
        <v>6693</v>
      </c>
      <c r="BE57" s="23">
        <v>6693</v>
      </c>
      <c r="BF57" s="41">
        <v>1.2676136363636363</v>
      </c>
      <c r="BG57" s="45">
        <v>1404334</v>
      </c>
      <c r="BH57" s="42">
        <v>1800634</v>
      </c>
      <c r="BI57" s="46">
        <v>209.82130584192439</v>
      </c>
    </row>
    <row r="58" spans="1:63" s="19" customFormat="1" x14ac:dyDescent="0.25">
      <c r="A58" s="55">
        <v>35119965</v>
      </c>
      <c r="B58" s="106" t="s">
        <v>5463</v>
      </c>
      <c r="C58" s="23">
        <v>20</v>
      </c>
      <c r="D58" s="23" t="s">
        <v>4871</v>
      </c>
      <c r="E58" s="110">
        <v>2021003</v>
      </c>
      <c r="F58" s="23">
        <v>0.85</v>
      </c>
      <c r="G58" s="37">
        <f>F58-K58</f>
        <v>0.85</v>
      </c>
      <c r="H58" s="20">
        <v>2020</v>
      </c>
      <c r="I58" s="37">
        <v>0</v>
      </c>
      <c r="J58" s="37"/>
      <c r="K58" s="37">
        <f>SUM(I58:J58)</f>
        <v>0</v>
      </c>
      <c r="L58" s="21">
        <v>730782.41</v>
      </c>
      <c r="M58" s="23" t="s">
        <v>4966</v>
      </c>
      <c r="N58" s="22">
        <v>82021106</v>
      </c>
      <c r="O58" s="19" t="s">
        <v>2224</v>
      </c>
      <c r="P58" s="23" t="s">
        <v>2233</v>
      </c>
      <c r="Q58" s="38">
        <f>IFERROR(VLOOKUP(P58,[47]conductor_pz_summary_hftd_23_re!$B$2:$Q$3636,8,FALSE),0)</f>
        <v>213</v>
      </c>
      <c r="R58" s="38">
        <f>IFERROR(VLOOKUP(P58,[48]conductor_pz_summary_hftd_23_re!$B$2:$H$3636,7,0),0)/1609</f>
        <v>19.353556626695898</v>
      </c>
      <c r="S58" s="23">
        <f>IFERROR(VLOOKUP(P58,[47]conductor_pz_summary_hftd_23_re!$B$2:$Q$3636,14,FALSE),0)</f>
        <v>1864</v>
      </c>
      <c r="T58" s="23">
        <f>IFERROR(U58*Q58,0)</f>
        <v>2.6622696084535109</v>
      </c>
      <c r="U58" s="23">
        <f>IFERROR(VLOOKUP(P58,[47]conductor_pz_summary_hftd_23_re!$B$2:$Q$3636,13,FALSE),0)</f>
        <v>1.2498918349547E-2</v>
      </c>
      <c r="V58" s="79">
        <f>IFERROR(VLOOKUP(P58,conductor_pz_summary_hftd_23_re!$B$2:$N$3636,13,FALSE),0)</f>
        <v>1950</v>
      </c>
      <c r="W58" s="65">
        <f>(AJ58*0.67+AK58*0.99+AL58+AM58*0.99)/(SUM(AJ58:AM58))*T58*(F58/R58)</f>
        <v>7.8340254003902876E-2</v>
      </c>
      <c r="X58" s="23">
        <v>841</v>
      </c>
      <c r="Y58" s="23" t="s">
        <v>4873</v>
      </c>
      <c r="Z58" s="23" t="s">
        <v>4888</v>
      </c>
      <c r="AA58" s="19" t="s">
        <v>5121</v>
      </c>
      <c r="AB58" s="19" t="s">
        <v>5122</v>
      </c>
      <c r="AC58" s="19" t="s">
        <v>5123</v>
      </c>
      <c r="AD58" s="19" t="s">
        <v>5039</v>
      </c>
      <c r="AE58" s="23">
        <v>5786602</v>
      </c>
      <c r="AF58" s="23" t="s">
        <v>5124</v>
      </c>
      <c r="AG58" s="23">
        <v>117721840</v>
      </c>
      <c r="AH58" s="55">
        <v>35119965</v>
      </c>
      <c r="AI58" s="23" t="s">
        <v>5125</v>
      </c>
      <c r="AJ58" s="23">
        <v>4483</v>
      </c>
      <c r="AK58" s="23">
        <v>0</v>
      </c>
      <c r="AL58" s="23">
        <v>0</v>
      </c>
      <c r="AM58" s="23">
        <v>0</v>
      </c>
      <c r="AO58" s="60" t="s">
        <v>5126</v>
      </c>
      <c r="AP58" s="23">
        <v>8077</v>
      </c>
      <c r="AQ58" s="41">
        <v>1.5297348484848485</v>
      </c>
      <c r="AR58" s="42">
        <v>903333</v>
      </c>
      <c r="AS58" s="60" t="s">
        <v>5127</v>
      </c>
      <c r="AT58" s="19">
        <v>0</v>
      </c>
      <c r="AU58" s="19">
        <v>0</v>
      </c>
      <c r="AV58" s="19">
        <v>1584</v>
      </c>
      <c r="AW58" s="23">
        <f>SUM(AT58:AV58)</f>
        <v>1584</v>
      </c>
      <c r="AX58" s="41">
        <f>AW58/5280</f>
        <v>0.3</v>
      </c>
      <c r="AY58" s="44">
        <v>576000</v>
      </c>
      <c r="AZ58" s="58" t="s">
        <v>5128</v>
      </c>
      <c r="BA58" s="58" t="s">
        <v>5129</v>
      </c>
      <c r="BB58" s="23">
        <v>4483</v>
      </c>
      <c r="BC58" s="23">
        <v>0</v>
      </c>
      <c r="BD58" s="23">
        <v>4483</v>
      </c>
      <c r="BE58" s="23">
        <v>4483</v>
      </c>
      <c r="BF58" s="41">
        <v>0.84905303030303025</v>
      </c>
      <c r="BG58" s="45">
        <v>1435425</v>
      </c>
      <c r="BH58" s="42">
        <v>1924210</v>
      </c>
      <c r="BI58" s="46">
        <v>320.19295114878429</v>
      </c>
    </row>
    <row r="59" spans="1:63" s="19" customFormat="1" x14ac:dyDescent="0.25">
      <c r="A59" s="35">
        <v>35094397</v>
      </c>
      <c r="B59" s="106" t="s">
        <v>5463</v>
      </c>
      <c r="C59" s="23">
        <v>20</v>
      </c>
      <c r="D59" s="23" t="s">
        <v>4871</v>
      </c>
      <c r="E59" s="110">
        <v>2021004</v>
      </c>
      <c r="F59" s="23">
        <v>1.07</v>
      </c>
      <c r="G59" s="37">
        <f>F59-K59</f>
        <v>1.07</v>
      </c>
      <c r="H59" s="20">
        <v>2020</v>
      </c>
      <c r="I59" s="37">
        <v>0</v>
      </c>
      <c r="J59" s="37"/>
      <c r="K59" s="37">
        <f>SUM(I59:J59)</f>
        <v>0</v>
      </c>
      <c r="L59" s="21">
        <v>993818.26</v>
      </c>
      <c r="M59" s="23" t="s">
        <v>4966</v>
      </c>
      <c r="N59" s="22">
        <v>43311102</v>
      </c>
      <c r="O59" s="19" t="s">
        <v>2063</v>
      </c>
      <c r="P59" s="23" t="s">
        <v>2067</v>
      </c>
      <c r="Q59" s="38">
        <f>IFERROR(VLOOKUP(P59,[47]conductor_pz_summary_hftd_23_re!$B$2:$Q$3636,8,FALSE),0)</f>
        <v>124</v>
      </c>
      <c r="R59" s="38">
        <f>IFERROR(VLOOKUP(P59,[48]conductor_pz_summary_hftd_23_re!$B$2:$H$3636,7,0),0)/1609</f>
        <v>9.7315112335888756</v>
      </c>
      <c r="S59" s="23">
        <f>IFERROR(VLOOKUP(P59,[47]conductor_pz_summary_hftd_23_re!$B$2:$Q$3636,14,FALSE),0)</f>
        <v>1999</v>
      </c>
      <c r="T59" s="23">
        <f>IFERROR(U59*Q59,0)</f>
        <v>1.1233747228367175</v>
      </c>
      <c r="U59" s="23">
        <f>IFERROR(VLOOKUP(P59,[47]conductor_pz_summary_hftd_23_re!$B$2:$Q$3636,13,FALSE),0)</f>
        <v>9.0594735712638506E-3</v>
      </c>
      <c r="V59" s="79">
        <f>IFERROR(VLOOKUP(P59,conductor_pz_summary_hftd_23_re!$B$2:$N$3636,13,FALSE),0)</f>
        <v>2215</v>
      </c>
      <c r="W59" s="65">
        <f>(AJ59*0.67+AK59*0.99+AL59+AM59*0.99)/(SUM(AJ59:AM59))*T59*(F59/R59)</f>
        <v>8.2756657159469726E-2</v>
      </c>
      <c r="X59" s="23">
        <v>153</v>
      </c>
      <c r="Y59" s="23" t="s">
        <v>4873</v>
      </c>
      <c r="Z59" s="23" t="s">
        <v>4888</v>
      </c>
      <c r="AA59" s="19" t="s">
        <v>5009</v>
      </c>
      <c r="AB59" s="19" t="s">
        <v>4875</v>
      </c>
      <c r="AC59" s="19" t="s">
        <v>4876</v>
      </c>
      <c r="AD59" s="19" t="s">
        <v>4877</v>
      </c>
      <c r="AE59" s="23">
        <v>5785167</v>
      </c>
      <c r="AF59" s="23" t="s">
        <v>5010</v>
      </c>
      <c r="AG59" s="23">
        <v>117131100</v>
      </c>
      <c r="AH59" s="35">
        <v>35094397</v>
      </c>
      <c r="AI59" s="23" t="s">
        <v>5011</v>
      </c>
      <c r="AJ59" s="23">
        <v>5621</v>
      </c>
      <c r="AK59" s="23">
        <v>0</v>
      </c>
      <c r="AL59" s="23">
        <v>0</v>
      </c>
      <c r="AM59" s="23">
        <v>0</v>
      </c>
      <c r="AO59" s="60" t="s">
        <v>5012</v>
      </c>
      <c r="AP59" s="23">
        <v>4593.6000000000004</v>
      </c>
      <c r="AQ59" s="41">
        <v>0.87</v>
      </c>
      <c r="AR59" s="42">
        <v>930690</v>
      </c>
      <c r="AS59" s="23" t="s">
        <v>5013</v>
      </c>
      <c r="AT59" s="19">
        <v>0</v>
      </c>
      <c r="AU59" s="19">
        <v>0</v>
      </c>
      <c r="AV59" s="19">
        <v>5649.6</v>
      </c>
      <c r="AW59" s="23">
        <f>SUM(AT59:AV59)</f>
        <v>5649.6</v>
      </c>
      <c r="AX59" s="41">
        <f>AW59/5280</f>
        <v>1.07</v>
      </c>
      <c r="AY59" s="44">
        <v>2054400.0000000002</v>
      </c>
      <c r="AZ59" s="58" t="s">
        <v>5014</v>
      </c>
      <c r="BA59" s="61" t="s">
        <v>5015</v>
      </c>
      <c r="BB59" s="23">
        <v>0</v>
      </c>
      <c r="BC59" s="23">
        <v>0</v>
      </c>
      <c r="BD59" s="23">
        <v>5621</v>
      </c>
      <c r="BE59" s="23">
        <v>5621</v>
      </c>
      <c r="BF59" s="41">
        <v>1.0645833333333334</v>
      </c>
      <c r="BG59" s="45">
        <v>1438986</v>
      </c>
      <c r="BH59" s="42">
        <v>1733017</v>
      </c>
      <c r="BI59" s="46">
        <v>256.00177904287494</v>
      </c>
    </row>
    <row r="60" spans="1:63" s="19" customFormat="1" x14ac:dyDescent="0.25">
      <c r="A60" s="50">
        <v>35061206</v>
      </c>
      <c r="B60" s="106" t="s">
        <v>5463</v>
      </c>
      <c r="C60" s="23">
        <v>20</v>
      </c>
      <c r="D60" s="23" t="s">
        <v>4871</v>
      </c>
      <c r="E60" s="110">
        <v>2021005</v>
      </c>
      <c r="F60" s="23">
        <v>1.77</v>
      </c>
      <c r="G60" s="37">
        <f>F60-K60</f>
        <v>1.77</v>
      </c>
      <c r="H60" s="20">
        <v>2020</v>
      </c>
      <c r="I60" s="37">
        <v>0</v>
      </c>
      <c r="J60" s="37"/>
      <c r="K60" s="37">
        <f>SUM(I60:J60)</f>
        <v>0</v>
      </c>
      <c r="L60" s="21">
        <v>1996303.4</v>
      </c>
      <c r="M60" s="23" t="s">
        <v>4966</v>
      </c>
      <c r="N60" s="22">
        <v>152481103</v>
      </c>
      <c r="O60" s="19" t="s">
        <v>433</v>
      </c>
      <c r="P60" s="23" t="s">
        <v>438</v>
      </c>
      <c r="Q60" s="38">
        <f>IFERROR(VLOOKUP(P60,[47]conductor_pz_summary_hftd_23_re!$B$2:$Q$3636,8,FALSE),0)</f>
        <v>201</v>
      </c>
      <c r="R60" s="38">
        <f>IFERROR(VLOOKUP(P60,[48]conductor_pz_summary_hftd_23_re!$B$2:$H$3636,7,0),0)/1609</f>
        <v>17.747259940771038</v>
      </c>
      <c r="S60" s="23">
        <f>IFERROR(VLOOKUP(P60,[47]conductor_pz_summary_hftd_23_re!$B$2:$Q$3636,14,FALSE),0)</f>
        <v>2144</v>
      </c>
      <c r="T60" s="23">
        <f>IFERROR(U60*Q60,0)</f>
        <v>1.2469265010419446</v>
      </c>
      <c r="U60" s="23">
        <f>IFERROR(VLOOKUP(P60,[47]conductor_pz_summary_hftd_23_re!$B$2:$Q$3636,13,FALSE),0)</f>
        <v>6.2036144330445001E-3</v>
      </c>
      <c r="V60" s="79">
        <f>IFERROR(VLOOKUP(P60,conductor_pz_summary_hftd_23_re!$B$2:$N$3636,13,FALSE),0)</f>
        <v>2255</v>
      </c>
      <c r="W60" s="65">
        <f>(AJ60*0.67+AK60*0.99+AL60+AM60*0.99)/(SUM(AJ60:AM60))*T60*(F60/R60)</f>
        <v>8.3321602462616454E-2</v>
      </c>
      <c r="X60" s="23">
        <v>7</v>
      </c>
      <c r="Y60" s="23" t="s">
        <v>4873</v>
      </c>
      <c r="Z60" s="23" t="s">
        <v>4888</v>
      </c>
      <c r="AA60" s="19" t="s">
        <v>4940</v>
      </c>
      <c r="AB60" s="19" t="s">
        <v>4941</v>
      </c>
      <c r="AC60" s="19" t="s">
        <v>4891</v>
      </c>
      <c r="AD60" s="19" t="s">
        <v>4877</v>
      </c>
      <c r="AE60" s="23">
        <v>5783070</v>
      </c>
      <c r="AF60" s="23" t="s">
        <v>4989</v>
      </c>
      <c r="AG60" s="23">
        <v>115106231</v>
      </c>
      <c r="AH60" s="50">
        <v>35061206</v>
      </c>
      <c r="AI60" s="23" t="s">
        <v>4990</v>
      </c>
      <c r="AJ60" s="23">
        <v>9320</v>
      </c>
      <c r="AK60" s="23">
        <v>0</v>
      </c>
      <c r="AL60" s="23">
        <v>0</v>
      </c>
      <c r="AM60" s="23">
        <v>0</v>
      </c>
      <c r="AO60" s="60" t="s">
        <v>4991</v>
      </c>
      <c r="AP60" s="23">
        <v>10380.48</v>
      </c>
      <c r="AQ60" s="41">
        <v>1.966</v>
      </c>
      <c r="AR60" s="42">
        <v>2108720</v>
      </c>
      <c r="AS60" s="60" t="s">
        <v>4992</v>
      </c>
      <c r="AT60" s="19">
        <v>0</v>
      </c>
      <c r="AU60" s="19">
        <v>0</v>
      </c>
      <c r="AV60" s="19">
        <v>9320</v>
      </c>
      <c r="AW60" s="23">
        <f>SUM(AT60:AV60)</f>
        <v>9320</v>
      </c>
      <c r="AX60" s="41">
        <f>AW60/5280</f>
        <v>1.7651515151515151</v>
      </c>
      <c r="AY60" s="44">
        <v>3389090.9090909092</v>
      </c>
      <c r="AZ60" s="58" t="s">
        <v>4993</v>
      </c>
      <c r="BA60" s="58" t="s">
        <v>4994</v>
      </c>
      <c r="BB60" s="23">
        <v>0</v>
      </c>
      <c r="BC60" s="23">
        <v>0</v>
      </c>
      <c r="BD60" s="23">
        <v>9320</v>
      </c>
      <c r="BE60" s="23">
        <v>9320</v>
      </c>
      <c r="BF60" s="41">
        <v>1.7651515151515151</v>
      </c>
      <c r="BG60" s="45">
        <v>3459498</v>
      </c>
      <c r="BH60" s="42">
        <v>4711641</v>
      </c>
      <c r="BI60" s="46">
        <v>371.19077253218882</v>
      </c>
    </row>
    <row r="61" spans="1:63" s="19" customFormat="1" x14ac:dyDescent="0.25">
      <c r="A61" s="50">
        <v>35117443</v>
      </c>
      <c r="B61" s="106" t="s">
        <v>5463</v>
      </c>
      <c r="C61" s="23">
        <v>20</v>
      </c>
      <c r="D61" s="23" t="s">
        <v>4871</v>
      </c>
      <c r="E61" s="110">
        <v>2021006</v>
      </c>
      <c r="F61" s="23">
        <v>2.16</v>
      </c>
      <c r="G61" s="37">
        <f>F61-K61</f>
        <v>2.16</v>
      </c>
      <c r="H61" s="20">
        <v>2020</v>
      </c>
      <c r="I61" s="37">
        <v>0</v>
      </c>
      <c r="J61" s="37"/>
      <c r="K61" s="37">
        <f>SUM(I61:J61)</f>
        <v>0</v>
      </c>
      <c r="L61" s="21">
        <v>1775373.41</v>
      </c>
      <c r="M61" s="23" t="s">
        <v>4966</v>
      </c>
      <c r="N61" s="22">
        <v>152481103</v>
      </c>
      <c r="O61" s="19" t="s">
        <v>433</v>
      </c>
      <c r="P61" s="23" t="s">
        <v>438</v>
      </c>
      <c r="Q61" s="38">
        <f>IFERROR(VLOOKUP(P61,[47]conductor_pz_summary_hftd_23_re!$B$2:$Q$3636,8,FALSE),0)</f>
        <v>201</v>
      </c>
      <c r="R61" s="38">
        <f>IFERROR(VLOOKUP(P61,[48]conductor_pz_summary_hftd_23_re!$B$2:$H$3636,7,0),0)/1609</f>
        <v>17.747259940771038</v>
      </c>
      <c r="S61" s="23">
        <f>IFERROR(VLOOKUP(P61,[47]conductor_pz_summary_hftd_23_re!$B$2:$Q$3636,14,FALSE),0)</f>
        <v>2144</v>
      </c>
      <c r="T61" s="23">
        <f>IFERROR(U61*Q61,0)</f>
        <v>1.2469265010419446</v>
      </c>
      <c r="U61" s="23">
        <f>IFERROR(VLOOKUP(P61,[47]conductor_pz_summary_hftd_23_re!$B$2:$Q$3636,13,FALSE),0)</f>
        <v>6.2036144330445001E-3</v>
      </c>
      <c r="V61" s="79">
        <f>IFERROR(VLOOKUP(P61,conductor_pz_summary_hftd_23_re!$B$2:$N$3636,13,FALSE),0)</f>
        <v>2255</v>
      </c>
      <c r="W61" s="65">
        <f>(AJ61*0.67+AK61*0.99+AL61+AM61*0.99)/(SUM(AJ61:AM61))*T61*(F61/R61)</f>
        <v>0.10168059961539634</v>
      </c>
      <c r="X61" s="23">
        <v>7</v>
      </c>
      <c r="Y61" s="23" t="s">
        <v>4873</v>
      </c>
      <c r="Z61" s="23" t="s">
        <v>4888</v>
      </c>
      <c r="AA61" s="19" t="s">
        <v>4940</v>
      </c>
      <c r="AB61" s="19" t="s">
        <v>4941</v>
      </c>
      <c r="AC61" s="19" t="s">
        <v>4891</v>
      </c>
      <c r="AD61" s="19" t="s">
        <v>4877</v>
      </c>
      <c r="AE61" s="23">
        <v>5786518</v>
      </c>
      <c r="AF61" s="23" t="s">
        <v>5107</v>
      </c>
      <c r="AG61" s="23">
        <v>117634567</v>
      </c>
      <c r="AH61" s="50">
        <v>35117443</v>
      </c>
      <c r="AI61" s="23" t="s">
        <v>5108</v>
      </c>
      <c r="AJ61" s="23">
        <v>11395</v>
      </c>
      <c r="AK61" s="23">
        <v>0</v>
      </c>
      <c r="AL61" s="23">
        <v>0</v>
      </c>
      <c r="AM61" s="23">
        <v>0</v>
      </c>
      <c r="AO61" s="60" t="s">
        <v>5109</v>
      </c>
      <c r="AP61" s="23">
        <v>8147.04</v>
      </c>
      <c r="AQ61" s="41">
        <v>1.5429999999999999</v>
      </c>
      <c r="AR61" s="42">
        <v>1630650</v>
      </c>
      <c r="AS61" s="60" t="s">
        <v>5110</v>
      </c>
      <c r="AT61" s="19">
        <v>0</v>
      </c>
      <c r="AU61" s="19">
        <v>0</v>
      </c>
      <c r="AV61" s="19">
        <v>11395</v>
      </c>
      <c r="AW61" s="23">
        <f>SUM(AT61:AV61)</f>
        <v>11395</v>
      </c>
      <c r="AX61" s="41">
        <f>AW61/5280</f>
        <v>2.1581439393939394</v>
      </c>
      <c r="AY61" s="44">
        <v>4143636.3636363638</v>
      </c>
      <c r="AZ61" s="40" t="s">
        <v>5111</v>
      </c>
      <c r="BA61" s="58" t="s">
        <v>5112</v>
      </c>
      <c r="BB61" s="23">
        <v>0</v>
      </c>
      <c r="BC61" s="23">
        <v>0</v>
      </c>
      <c r="BD61" s="23">
        <v>11395</v>
      </c>
      <c r="BE61" s="23">
        <v>11395</v>
      </c>
      <c r="BF61" s="41">
        <v>2.1581439393939394</v>
      </c>
      <c r="BG61" s="45">
        <v>4475708</v>
      </c>
      <c r="BH61" s="42">
        <v>5778810</v>
      </c>
      <c r="BI61" s="46">
        <v>392.77823606845106</v>
      </c>
    </row>
    <row r="62" spans="1:63" s="19" customFormat="1" x14ac:dyDescent="0.25">
      <c r="A62" s="55">
        <v>35061212</v>
      </c>
      <c r="B62" s="106" t="s">
        <v>5463</v>
      </c>
      <c r="C62" s="23">
        <v>20</v>
      </c>
      <c r="D62" s="23" t="s">
        <v>4871</v>
      </c>
      <c r="E62" s="110">
        <v>2021007</v>
      </c>
      <c r="F62" s="23">
        <v>1.79</v>
      </c>
      <c r="G62" s="37">
        <f>F62-K62</f>
        <v>1.79</v>
      </c>
      <c r="H62" s="20">
        <v>2020</v>
      </c>
      <c r="I62" s="37">
        <v>0</v>
      </c>
      <c r="J62" s="37"/>
      <c r="K62" s="37">
        <f>SUM(I62:J62)</f>
        <v>0</v>
      </c>
      <c r="L62" s="21">
        <v>1360026.68</v>
      </c>
      <c r="M62" s="23" t="s">
        <v>4966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>IFERROR(U62*Q62,0)</f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>(AJ62*0.67+AK62*0.99+AL62+AM62*0.99)/(SUM(AJ62:AM62))*T62*(F62/R62)</f>
        <v>8.4263089496092333E-2</v>
      </c>
      <c r="X62" s="23">
        <v>7</v>
      </c>
      <c r="Y62" s="23" t="s">
        <v>4873</v>
      </c>
      <c r="Z62" s="23" t="s">
        <v>4888</v>
      </c>
      <c r="AA62" s="19" t="s">
        <v>4940</v>
      </c>
      <c r="AB62" s="19" t="s">
        <v>4941</v>
      </c>
      <c r="AC62" s="19" t="s">
        <v>4891</v>
      </c>
      <c r="AD62" s="19" t="s">
        <v>4877</v>
      </c>
      <c r="AE62" s="23">
        <v>5783071</v>
      </c>
      <c r="AF62" s="23" t="s">
        <v>4995</v>
      </c>
      <c r="AG62" s="23">
        <v>115106486</v>
      </c>
      <c r="AH62" s="50">
        <v>35061212</v>
      </c>
      <c r="AI62" s="23" t="s">
        <v>4996</v>
      </c>
      <c r="AJ62" s="23">
        <v>9445</v>
      </c>
      <c r="AK62" s="23">
        <v>0</v>
      </c>
      <c r="AL62" s="23">
        <v>0</v>
      </c>
      <c r="AM62" s="23">
        <v>0</v>
      </c>
      <c r="AO62" s="40" t="s">
        <v>4997</v>
      </c>
      <c r="AP62" s="23">
        <v>47520</v>
      </c>
      <c r="AQ62" s="41">
        <v>9</v>
      </c>
      <c r="AR62" s="42">
        <v>9533800</v>
      </c>
      <c r="AS62" s="60" t="s">
        <v>4998</v>
      </c>
      <c r="AT62" s="19">
        <v>0</v>
      </c>
      <c r="AU62" s="19">
        <v>0</v>
      </c>
      <c r="AV62" s="19">
        <v>9445</v>
      </c>
      <c r="AW62" s="23">
        <f>SUM(AT62:AV62)</f>
        <v>9445</v>
      </c>
      <c r="AX62" s="41">
        <f>AW62/5280</f>
        <v>1.7888257575757576</v>
      </c>
      <c r="AY62" s="44">
        <v>3434545.4545454546</v>
      </c>
      <c r="AZ62" s="57" t="s">
        <v>4999</v>
      </c>
      <c r="BA62" s="58" t="s">
        <v>5000</v>
      </c>
      <c r="BB62" s="23">
        <v>0</v>
      </c>
      <c r="BC62" s="23">
        <v>0</v>
      </c>
      <c r="BD62" s="23">
        <v>9445</v>
      </c>
      <c r="BE62" s="23">
        <v>9445</v>
      </c>
      <c r="BF62" s="41">
        <v>1.7888257575757576</v>
      </c>
      <c r="BG62" s="45">
        <v>3890031</v>
      </c>
      <c r="BH62" s="42">
        <v>4913095</v>
      </c>
      <c r="BI62" s="46">
        <v>411.86140815246159</v>
      </c>
      <c r="BK62" s="51" t="s">
        <v>5001</v>
      </c>
    </row>
    <row r="63" spans="1:63" s="19" customFormat="1" x14ac:dyDescent="0.25">
      <c r="A63" s="50">
        <v>35115151</v>
      </c>
      <c r="B63" s="106" t="s">
        <v>5463</v>
      </c>
      <c r="C63" s="23">
        <v>20</v>
      </c>
      <c r="D63" s="23" t="s">
        <v>4871</v>
      </c>
      <c r="E63" s="110">
        <v>2021008</v>
      </c>
      <c r="F63" s="23">
        <v>1.9</v>
      </c>
      <c r="G63" s="37">
        <f>F63-K63</f>
        <v>1.9</v>
      </c>
      <c r="H63" s="20">
        <v>2020</v>
      </c>
      <c r="I63" s="37">
        <v>0</v>
      </c>
      <c r="J63" s="37"/>
      <c r="K63" s="37">
        <f>SUM(I63:J63)</f>
        <v>0</v>
      </c>
      <c r="L63" s="21">
        <v>976798.02</v>
      </c>
      <c r="M63" s="23" t="s">
        <v>4966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>IFERROR(U63*Q63,0)</f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>(AJ63*0.67+AK63*0.99+AL63+AM63*0.99)/(SUM(AJ63:AM63))*T63*(F63/R63)</f>
        <v>8.9441268180209726E-2</v>
      </c>
      <c r="X63" s="23">
        <v>7</v>
      </c>
      <c r="Y63" s="23" t="s">
        <v>4873</v>
      </c>
      <c r="Z63" s="23" t="s">
        <v>4888</v>
      </c>
      <c r="AA63" s="19" t="s">
        <v>4940</v>
      </c>
      <c r="AB63" s="19" t="s">
        <v>4941</v>
      </c>
      <c r="AC63" s="19" t="s">
        <v>4891</v>
      </c>
      <c r="AD63" s="19" t="s">
        <v>4877</v>
      </c>
      <c r="AE63" s="23">
        <v>5785721</v>
      </c>
      <c r="AF63" s="23" t="s">
        <v>5062</v>
      </c>
      <c r="AG63" s="23">
        <v>117493857</v>
      </c>
      <c r="AH63" s="50">
        <v>35115151</v>
      </c>
      <c r="AI63" s="23" t="s">
        <v>5063</v>
      </c>
      <c r="AJ63" s="23">
        <v>10013</v>
      </c>
      <c r="AK63" s="23">
        <v>0</v>
      </c>
      <c r="AL63" s="23">
        <v>0</v>
      </c>
      <c r="AM63" s="23">
        <v>0</v>
      </c>
      <c r="AO63" s="60" t="s">
        <v>4997</v>
      </c>
      <c r="AP63" s="23">
        <v>11880</v>
      </c>
      <c r="AQ63" s="41">
        <v>2.25</v>
      </c>
      <c r="AR63" s="42">
        <v>2383450</v>
      </c>
      <c r="AS63" s="60" t="s">
        <v>4998</v>
      </c>
      <c r="AT63" s="19">
        <v>0</v>
      </c>
      <c r="AU63" s="19">
        <v>0</v>
      </c>
      <c r="AV63" s="19">
        <v>10013</v>
      </c>
      <c r="AW63" s="23">
        <f>SUM(AT63:AV63)</f>
        <v>10013</v>
      </c>
      <c r="AX63" s="41">
        <f>AW63/5280</f>
        <v>1.8964015151515152</v>
      </c>
      <c r="AY63" s="44">
        <v>3641090.9090909092</v>
      </c>
      <c r="AZ63" s="40" t="s">
        <v>5064</v>
      </c>
      <c r="BA63" s="58" t="s">
        <v>5065</v>
      </c>
      <c r="BB63" s="23">
        <v>0</v>
      </c>
      <c r="BC63" s="23">
        <v>0</v>
      </c>
      <c r="BD63" s="23">
        <v>10013</v>
      </c>
      <c r="BE63" s="23">
        <v>10013</v>
      </c>
      <c r="BF63" s="41">
        <v>1.8964015151515152</v>
      </c>
      <c r="BG63" s="45">
        <v>4025667</v>
      </c>
      <c r="BH63" s="42">
        <v>5273989</v>
      </c>
      <c r="BI63" s="46">
        <v>402.04404274443226</v>
      </c>
      <c r="BK63" s="51" t="s">
        <v>5066</v>
      </c>
    </row>
    <row r="64" spans="1:63" s="19" customFormat="1" x14ac:dyDescent="0.25">
      <c r="A64" s="35">
        <v>35116383</v>
      </c>
      <c r="B64" s="106" t="s">
        <v>5463</v>
      </c>
      <c r="C64" s="23">
        <v>20</v>
      </c>
      <c r="D64" s="23" t="s">
        <v>4871</v>
      </c>
      <c r="E64" s="110">
        <v>2021009</v>
      </c>
      <c r="F64" s="23">
        <v>1.38</v>
      </c>
      <c r="G64" s="37">
        <f>F64-K64</f>
        <v>1.38</v>
      </c>
      <c r="H64" s="20">
        <v>2020</v>
      </c>
      <c r="I64" s="37">
        <v>0</v>
      </c>
      <c r="J64" s="37"/>
      <c r="K64" s="37">
        <f>SUM(I64:J64)</f>
        <v>0</v>
      </c>
      <c r="L64" s="21">
        <v>800339.36</v>
      </c>
      <c r="M64" s="23" t="s">
        <v>4966</v>
      </c>
      <c r="N64" s="22">
        <v>163661701</v>
      </c>
      <c r="O64" s="19" t="s">
        <v>2475</v>
      </c>
      <c r="P64" s="23" t="s">
        <v>2481</v>
      </c>
      <c r="Q64" s="38">
        <f>IFERROR(VLOOKUP(P64,[47]conductor_pz_summary_hftd_23_re!$B$2:$Q$3636,8,FALSE),0)</f>
        <v>132</v>
      </c>
      <c r="R64" s="38">
        <f>IFERROR(VLOOKUP(P64,[48]conductor_pz_summary_hftd_23_re!$B$2:$H$3636,7,0),0)/1609</f>
        <v>11.858056951620696</v>
      </c>
      <c r="S64" s="23">
        <f>IFERROR(VLOOKUP(P64,[47]conductor_pz_summary_hftd_23_re!$B$2:$Q$3636,14,FALSE),0)</f>
        <v>2267</v>
      </c>
      <c r="T64" s="23">
        <f>IFERROR(U64*Q64,0)</f>
        <v>0.50381102520239307</v>
      </c>
      <c r="U64" s="23">
        <f>IFERROR(VLOOKUP(P64,[47]conductor_pz_summary_hftd_23_re!$B$2:$Q$3636,13,FALSE),0)</f>
        <v>3.81675019092722E-3</v>
      </c>
      <c r="V64" s="79">
        <f>IFERROR(VLOOKUP(P64,conductor_pz_summary_hftd_23_re!$B$2:$N$3636,13,FALSE),0)</f>
        <v>2336</v>
      </c>
      <c r="W64" s="65">
        <f>(AJ64*0.67+AK64*0.99+AL64+AM64*0.99)/(SUM(AJ64:AM64))*T64*(F64/R64)</f>
        <v>3.9283305502969969E-2</v>
      </c>
      <c r="X64" s="23">
        <v>12</v>
      </c>
      <c r="Y64" s="23" t="s">
        <v>4873</v>
      </c>
      <c r="Z64" s="23" t="s">
        <v>4888</v>
      </c>
      <c r="AA64" s="19" t="s">
        <v>4967</v>
      </c>
      <c r="AB64" s="19" t="s">
        <v>4968</v>
      </c>
      <c r="AC64" s="19" t="s">
        <v>4969</v>
      </c>
      <c r="AD64" s="19" t="s">
        <v>4963</v>
      </c>
      <c r="AE64" s="23">
        <v>5785966</v>
      </c>
      <c r="AF64" s="23" t="s">
        <v>5067</v>
      </c>
      <c r="AG64" s="23">
        <v>117604600</v>
      </c>
      <c r="AH64" s="35">
        <v>35116383</v>
      </c>
      <c r="AI64" s="23" t="s">
        <v>5068</v>
      </c>
      <c r="AJ64" s="23">
        <v>7319</v>
      </c>
      <c r="AK64" s="23">
        <v>0</v>
      </c>
      <c r="AL64" s="23">
        <v>0</v>
      </c>
      <c r="AM64" s="23">
        <v>0</v>
      </c>
      <c r="AO64" s="60" t="s">
        <v>5069</v>
      </c>
      <c r="AP64" s="23">
        <v>10401.6</v>
      </c>
      <c r="AQ64" s="41">
        <v>1.97</v>
      </c>
      <c r="AR64" s="42">
        <v>2126216</v>
      </c>
      <c r="AS64" s="60" t="s">
        <v>5070</v>
      </c>
      <c r="AT64" s="19">
        <v>0</v>
      </c>
      <c r="AU64" s="19">
        <v>0</v>
      </c>
      <c r="AV64" s="19">
        <v>7080</v>
      </c>
      <c r="AW64" s="23">
        <f>SUM(AT64:AV64)</f>
        <v>7080</v>
      </c>
      <c r="AX64" s="41">
        <f>AW64/5280</f>
        <v>1.3409090909090908</v>
      </c>
      <c r="AY64" s="44">
        <v>2574545.4545454546</v>
      </c>
      <c r="AZ64" s="60" t="s">
        <v>5071</v>
      </c>
      <c r="BA64" s="58" t="s">
        <v>5072</v>
      </c>
      <c r="BB64" s="23">
        <v>0</v>
      </c>
      <c r="BC64" s="23">
        <v>0</v>
      </c>
      <c r="BD64" s="23">
        <v>7319</v>
      </c>
      <c r="BE64" s="23">
        <v>7319</v>
      </c>
      <c r="BF64" s="41">
        <v>1.3861742424242425</v>
      </c>
      <c r="BG64" s="45">
        <v>2547023</v>
      </c>
      <c r="BH64" s="42">
        <v>3758449</v>
      </c>
      <c r="BI64" s="46">
        <v>348.00150293755979</v>
      </c>
    </row>
    <row r="65" spans="1:61" s="19" customFormat="1" ht="15.75" customHeight="1" x14ac:dyDescent="0.25">
      <c r="A65" s="35">
        <v>35116384</v>
      </c>
      <c r="B65" s="106" t="s">
        <v>5463</v>
      </c>
      <c r="C65" s="23">
        <v>20</v>
      </c>
      <c r="D65" s="23" t="s">
        <v>5053</v>
      </c>
      <c r="E65" s="110">
        <v>2021010</v>
      </c>
      <c r="F65" s="23">
        <v>1.84</v>
      </c>
      <c r="G65" s="37">
        <f>F65-K65</f>
        <v>1.6700000000000002</v>
      </c>
      <c r="H65" s="20">
        <v>2020</v>
      </c>
      <c r="I65" s="37">
        <v>0.17</v>
      </c>
      <c r="J65" s="37"/>
      <c r="K65" s="37">
        <f>SUM(I65:J65)</f>
        <v>0.17</v>
      </c>
      <c r="L65" s="21">
        <v>91160.36</v>
      </c>
      <c r="M65" s="23" t="s">
        <v>4966</v>
      </c>
      <c r="N65" s="22">
        <v>163661701</v>
      </c>
      <c r="O65" s="19" t="s">
        <v>2475</v>
      </c>
      <c r="P65" s="23" t="s">
        <v>2481</v>
      </c>
      <c r="Q65" s="38">
        <f>IFERROR(VLOOKUP(P65,[47]conductor_pz_summary_hftd_23_re!$B$2:$Q$3636,8,FALSE),0)</f>
        <v>132</v>
      </c>
      <c r="R65" s="38">
        <f>IFERROR(VLOOKUP(P65,[48]conductor_pz_summary_hftd_23_re!$B$2:$H$3636,7,0),0)/1609</f>
        <v>11.858056951620696</v>
      </c>
      <c r="S65" s="23">
        <f>IFERROR(VLOOKUP(P65,[47]conductor_pz_summary_hftd_23_re!$B$2:$Q$3636,14,FALSE),0)</f>
        <v>2267</v>
      </c>
      <c r="T65" s="23">
        <f>IFERROR(U65*Q65,0)</f>
        <v>0.50381102520239307</v>
      </c>
      <c r="U65" s="23">
        <f>IFERROR(VLOOKUP(P65,[47]conductor_pz_summary_hftd_23_re!$B$2:$Q$3636,13,FALSE),0)</f>
        <v>3.81675019092722E-3</v>
      </c>
      <c r="V65" s="79">
        <f>IFERROR(VLOOKUP(P65,conductor_pz_summary_hftd_23_re!$B$2:$N$3636,13,FALSE),0)</f>
        <v>2336</v>
      </c>
      <c r="W65" s="65">
        <f>(AJ65*0.67+AK65*0.99+AL65+AM65*0.99)/(SUM(AJ65:AM65))*T65*(F65/R65)</f>
        <v>5.237774067062663E-2</v>
      </c>
      <c r="X65" s="23">
        <v>12</v>
      </c>
      <c r="Y65" s="23" t="s">
        <v>4873</v>
      </c>
      <c r="Z65" s="23" t="s">
        <v>4888</v>
      </c>
      <c r="AA65" s="19" t="s">
        <v>4967</v>
      </c>
      <c r="AB65" s="19" t="s">
        <v>4968</v>
      </c>
      <c r="AC65" s="19" t="s">
        <v>4969</v>
      </c>
      <c r="AD65" s="19" t="s">
        <v>4963</v>
      </c>
      <c r="AE65" s="23">
        <v>5785967</v>
      </c>
      <c r="AF65" s="23" t="s">
        <v>5073</v>
      </c>
      <c r="AG65" s="23">
        <v>117604604</v>
      </c>
      <c r="AH65" s="35">
        <v>35116384</v>
      </c>
      <c r="AI65" s="23" t="s">
        <v>5074</v>
      </c>
      <c r="AJ65" s="23">
        <v>9700</v>
      </c>
      <c r="AK65" s="23">
        <v>0</v>
      </c>
      <c r="AL65" s="23">
        <v>0</v>
      </c>
      <c r="AM65" s="23">
        <v>0</v>
      </c>
      <c r="AO65" s="60" t="s">
        <v>5069</v>
      </c>
      <c r="AP65" s="23">
        <v>10401.6</v>
      </c>
      <c r="AQ65" s="41">
        <v>1.97</v>
      </c>
      <c r="AR65" s="42">
        <v>2126216</v>
      </c>
      <c r="AS65" s="60" t="s">
        <v>5070</v>
      </c>
      <c r="AT65" s="19">
        <v>0</v>
      </c>
      <c r="AU65" s="19">
        <v>0</v>
      </c>
      <c r="AV65" s="19">
        <v>9715</v>
      </c>
      <c r="AW65" s="23">
        <f>SUM(AT65:AV65)</f>
        <v>9715</v>
      </c>
      <c r="AX65" s="41">
        <f>AW65/5280</f>
        <v>1.8399621212121211</v>
      </c>
      <c r="AY65" s="44">
        <v>3532727.2727272725</v>
      </c>
      <c r="AZ65" s="58" t="s">
        <v>5075</v>
      </c>
      <c r="BA65" s="58" t="s">
        <v>5076</v>
      </c>
      <c r="BB65" s="23">
        <v>0</v>
      </c>
      <c r="BC65" s="23">
        <v>0</v>
      </c>
      <c r="BD65" s="23">
        <v>9700</v>
      </c>
      <c r="BE65" s="23">
        <v>9700</v>
      </c>
      <c r="BF65" s="41">
        <v>1.8371212121212122</v>
      </c>
      <c r="BG65" s="45">
        <v>3239382</v>
      </c>
      <c r="BH65" s="42">
        <v>4624169</v>
      </c>
      <c r="BI65" s="46">
        <v>333.95690721649487</v>
      </c>
    </row>
    <row r="66" spans="1:61" s="19" customFormat="1" x14ac:dyDescent="0.25">
      <c r="A66" s="50">
        <v>35114040</v>
      </c>
      <c r="B66" s="106" t="s">
        <v>5463</v>
      </c>
      <c r="C66" s="23">
        <v>20</v>
      </c>
      <c r="D66" s="23" t="s">
        <v>4871</v>
      </c>
      <c r="E66" s="110">
        <v>2021011</v>
      </c>
      <c r="F66" s="23">
        <v>1.4850000000000001</v>
      </c>
      <c r="G66" s="37">
        <f>F66-K66</f>
        <v>1.4850000000000001</v>
      </c>
      <c r="H66" s="20">
        <v>2020</v>
      </c>
      <c r="I66" s="37">
        <v>0</v>
      </c>
      <c r="J66" s="37"/>
      <c r="K66" s="37">
        <f>SUM(I66:J66)</f>
        <v>0</v>
      </c>
      <c r="L66" s="21">
        <v>1109516.3799999999</v>
      </c>
      <c r="M66" s="23" t="s">
        <v>4966</v>
      </c>
      <c r="N66" s="22">
        <v>163751102</v>
      </c>
      <c r="O66" s="19" t="s">
        <v>3301</v>
      </c>
      <c r="P66" s="23" t="s">
        <v>3300</v>
      </c>
      <c r="Q66" s="38">
        <f>IFERROR(VLOOKUP(P66,[47]conductor_pz_summary_hftd_23_re!$B$2:$Q$3636,8,FALSE),0)</f>
        <v>218</v>
      </c>
      <c r="R66" s="38">
        <f>IFERROR(VLOOKUP(P66,[48]conductor_pz_summary_hftd_23_re!$B$2:$H$3636,7,0),0)/1609</f>
        <v>17.259798184577253</v>
      </c>
      <c r="S66" s="23">
        <f>IFERROR(VLOOKUP(P66,[47]conductor_pz_summary_hftd_23_re!$B$2:$Q$3636,14,FALSE),0)</f>
        <v>2271</v>
      </c>
      <c r="T66" s="23">
        <f>IFERROR(U66*Q66,0)</f>
        <v>0.81904811310262859</v>
      </c>
      <c r="U66" s="23">
        <f>IFERROR(VLOOKUP(P66,[47]conductor_pz_summary_hftd_23_re!$B$2:$Q$3636,13,FALSE),0)</f>
        <v>3.75710143625059E-3</v>
      </c>
      <c r="V66" s="79">
        <f>IFERROR(VLOOKUP(P66,conductor_pz_summary_hftd_23_re!$B$2:$N$3636,13,FALSE),0)</f>
        <v>2414</v>
      </c>
      <c r="W66" s="65">
        <f>(AJ66*0.67+AK66*0.99+AL66+AM66*0.99)/(SUM(AJ66:AM66))*T66*(F66/R66)</f>
        <v>4.7214452418084293E-2</v>
      </c>
      <c r="X66" s="23">
        <v>20</v>
      </c>
      <c r="Y66" s="23" t="s">
        <v>4873</v>
      </c>
      <c r="Z66" s="23" t="s">
        <v>4888</v>
      </c>
      <c r="AA66" s="19" t="s">
        <v>5023</v>
      </c>
      <c r="AB66" s="19" t="s">
        <v>5024</v>
      </c>
      <c r="AC66" s="19" t="s">
        <v>4962</v>
      </c>
      <c r="AD66" s="19" t="s">
        <v>4963</v>
      </c>
      <c r="AE66" s="23">
        <v>5785991</v>
      </c>
      <c r="AF66" s="23" t="s">
        <v>5025</v>
      </c>
      <c r="AG66" s="23">
        <v>117500499</v>
      </c>
      <c r="AH66" s="50">
        <v>35114040</v>
      </c>
      <c r="AI66" s="23" t="s">
        <v>5026</v>
      </c>
      <c r="AJ66" s="23">
        <v>7839</v>
      </c>
      <c r="AK66" s="23">
        <v>0</v>
      </c>
      <c r="AL66" s="23">
        <v>0</v>
      </c>
      <c r="AM66" s="23">
        <v>0</v>
      </c>
      <c r="AO66" s="60" t="s">
        <v>5027</v>
      </c>
      <c r="AP66" s="23">
        <v>27456</v>
      </c>
      <c r="AQ66" s="41">
        <v>5.2</v>
      </c>
      <c r="AR66" s="42">
        <v>5674800</v>
      </c>
      <c r="AS66" s="60" t="s">
        <v>5028</v>
      </c>
      <c r="AT66" s="19">
        <v>0</v>
      </c>
      <c r="AU66" s="19">
        <v>0</v>
      </c>
      <c r="AV66" s="19">
        <v>7188</v>
      </c>
      <c r="AW66" s="23">
        <f>SUM(AT66:AV66)</f>
        <v>7188</v>
      </c>
      <c r="AX66" s="41">
        <f>AW66/5280</f>
        <v>1.3613636363636363</v>
      </c>
      <c r="AY66" s="44">
        <v>2613818.1818181816</v>
      </c>
      <c r="AZ66" s="40" t="s">
        <v>5029</v>
      </c>
      <c r="BA66" s="58" t="s">
        <v>5030</v>
      </c>
      <c r="BB66" s="23">
        <v>0</v>
      </c>
      <c r="BC66" s="23">
        <v>0</v>
      </c>
      <c r="BD66" s="23">
        <v>7839</v>
      </c>
      <c r="BE66" s="23">
        <v>7839</v>
      </c>
      <c r="BF66" s="41">
        <v>1.4846590909090909</v>
      </c>
      <c r="BG66" s="45">
        <v>3107232</v>
      </c>
      <c r="BH66" s="42">
        <v>4232854</v>
      </c>
      <c r="BI66" s="46">
        <v>396.38117106773825</v>
      </c>
    </row>
    <row r="67" spans="1:61" s="19" customFormat="1" x14ac:dyDescent="0.25">
      <c r="A67" s="55">
        <v>35114048</v>
      </c>
      <c r="B67" s="106" t="s">
        <v>5463</v>
      </c>
      <c r="C67" s="23">
        <v>20</v>
      </c>
      <c r="D67" s="23" t="s">
        <v>4871</v>
      </c>
      <c r="E67" s="110">
        <v>2021012</v>
      </c>
      <c r="F67" s="37">
        <v>1.39</v>
      </c>
      <c r="G67" s="37">
        <f>F67-K67</f>
        <v>1.39</v>
      </c>
      <c r="H67" s="20">
        <v>2020</v>
      </c>
      <c r="I67" s="37">
        <v>0</v>
      </c>
      <c r="J67" s="37"/>
      <c r="K67" s="37">
        <f>SUM(I67:J67)</f>
        <v>0</v>
      </c>
      <c r="L67" s="21">
        <v>699201.22</v>
      </c>
      <c r="M67" s="23" t="s">
        <v>4966</v>
      </c>
      <c r="N67" s="22">
        <v>163751102</v>
      </c>
      <c r="O67" s="19" t="s">
        <v>3301</v>
      </c>
      <c r="P67" s="23" t="s">
        <v>3300</v>
      </c>
      <c r="Q67" s="38">
        <f>IFERROR(VLOOKUP(P67,[47]conductor_pz_summary_hftd_23_re!$B$2:$Q$3636,8,FALSE),0)</f>
        <v>218</v>
      </c>
      <c r="R67" s="38">
        <f>IFERROR(VLOOKUP(P67,[48]conductor_pz_summary_hftd_23_re!$B$2:$H$3636,7,0),0)/1609</f>
        <v>17.259798184577253</v>
      </c>
      <c r="S67" s="23">
        <f>IFERROR(VLOOKUP(P67,[47]conductor_pz_summary_hftd_23_re!$B$2:$Q$3636,14,FALSE),0)</f>
        <v>2271</v>
      </c>
      <c r="T67" s="23">
        <f>IFERROR(U67*Q67,0)</f>
        <v>0.81904811310262859</v>
      </c>
      <c r="U67" s="23">
        <f>IFERROR(VLOOKUP(P67,[47]conductor_pz_summary_hftd_23_re!$B$2:$Q$3636,13,FALSE),0)</f>
        <v>3.75710143625059E-3</v>
      </c>
      <c r="V67" s="79">
        <f>IFERROR(VLOOKUP(P67,conductor_pz_summary_hftd_23_re!$B$2:$N$3636,13,FALSE),0)</f>
        <v>2414</v>
      </c>
      <c r="W67" s="65">
        <f>(AJ67*0.67+AK67*0.99+AL67+AM67*0.99)/(SUM(AJ67:AM67))*T67*(F67/R67)</f>
        <v>4.419399923308899E-2</v>
      </c>
      <c r="X67" s="23">
        <v>20</v>
      </c>
      <c r="Y67" s="23" t="s">
        <v>4873</v>
      </c>
      <c r="Z67" s="23" t="s">
        <v>4888</v>
      </c>
      <c r="AA67" s="19" t="s">
        <v>5023</v>
      </c>
      <c r="AB67" s="19" t="s">
        <v>5024</v>
      </c>
      <c r="AC67" s="19" t="s">
        <v>4962</v>
      </c>
      <c r="AD67" s="19" t="s">
        <v>4963</v>
      </c>
      <c r="AE67" s="23">
        <v>5785997</v>
      </c>
      <c r="AF67" s="23" t="s">
        <v>5031</v>
      </c>
      <c r="AG67" s="23">
        <v>117499466</v>
      </c>
      <c r="AH67" s="55">
        <v>35114048</v>
      </c>
      <c r="AI67" s="23" t="s">
        <v>5032</v>
      </c>
      <c r="AJ67" s="23">
        <v>7344</v>
      </c>
      <c r="AK67" s="23">
        <v>0</v>
      </c>
      <c r="AL67" s="23">
        <v>0</v>
      </c>
      <c r="AM67" s="23">
        <v>0</v>
      </c>
      <c r="AO67" s="60" t="s">
        <v>5033</v>
      </c>
      <c r="AP67" s="23">
        <v>83964.72</v>
      </c>
      <c r="AQ67" s="41">
        <v>1.59</v>
      </c>
      <c r="AR67" s="42">
        <v>1718171.43</v>
      </c>
      <c r="AS67" s="60" t="s">
        <v>5034</v>
      </c>
      <c r="AT67" s="19">
        <v>0</v>
      </c>
      <c r="AU67" s="19">
        <v>0</v>
      </c>
      <c r="AV67" s="19">
        <v>7382</v>
      </c>
      <c r="AW67" s="23">
        <f>SUM(AT67:AV67)</f>
        <v>7382</v>
      </c>
      <c r="AX67" s="41">
        <f>AW67/5280</f>
        <v>1.3981060606060607</v>
      </c>
      <c r="AY67" s="44">
        <v>2684363.6363636367</v>
      </c>
      <c r="AZ67" s="60" t="s">
        <v>5035</v>
      </c>
      <c r="BA67" s="60" t="s">
        <v>5036</v>
      </c>
      <c r="BB67" s="23">
        <v>0</v>
      </c>
      <c r="BC67" s="23">
        <v>0</v>
      </c>
      <c r="BD67" s="23">
        <v>7344</v>
      </c>
      <c r="BE67" s="23">
        <v>7344</v>
      </c>
      <c r="BF67" s="41">
        <v>1.3909090909090909</v>
      </c>
      <c r="BG67" s="45">
        <v>3133899</v>
      </c>
      <c r="BH67" s="42">
        <v>4178929</v>
      </c>
      <c r="BI67" s="46">
        <v>426.72916666666669</v>
      </c>
    </row>
    <row r="68" spans="1:61" s="19" customFormat="1" x14ac:dyDescent="0.25">
      <c r="A68" s="35">
        <v>35115054</v>
      </c>
      <c r="B68" s="106" t="s">
        <v>5463</v>
      </c>
      <c r="C68" s="23">
        <v>20</v>
      </c>
      <c r="D68" s="23" t="s">
        <v>5053</v>
      </c>
      <c r="E68" s="110">
        <v>2021013</v>
      </c>
      <c r="F68" s="23">
        <v>1.43</v>
      </c>
      <c r="G68" s="37">
        <f>F68-K68</f>
        <v>1.4</v>
      </c>
      <c r="H68" s="20">
        <v>2020</v>
      </c>
      <c r="I68" s="37">
        <v>0.03</v>
      </c>
      <c r="J68" s="37"/>
      <c r="K68" s="37">
        <f>SUM(I68:J68)</f>
        <v>0.03</v>
      </c>
      <c r="L68" s="21">
        <v>870749.78</v>
      </c>
      <c r="M68" s="23" t="s">
        <v>4966</v>
      </c>
      <c r="N68" s="22">
        <v>163661701</v>
      </c>
      <c r="O68" s="19" t="s">
        <v>2475</v>
      </c>
      <c r="P68" s="23" t="s">
        <v>2482</v>
      </c>
      <c r="Q68" s="38">
        <f>IFERROR(VLOOKUP(P68,[47]conductor_pz_summary_hftd_23_re!$B$2:$Q$3636,8,FALSE),0)</f>
        <v>187</v>
      </c>
      <c r="R68" s="38">
        <f>IFERROR(VLOOKUP(P68,[48]conductor_pz_summary_hftd_23_re!$B$2:$H$3636,7,0),0)/1609</f>
        <v>16.249408441667743</v>
      </c>
      <c r="S68" s="23">
        <f>IFERROR(VLOOKUP(P68,[47]conductor_pz_summary_hftd_23_re!$B$2:$Q$3636,14,FALSE),0)</f>
        <v>2353</v>
      </c>
      <c r="T68" s="23">
        <f>IFERROR(U68*Q68,0)</f>
        <v>0.55914274049091306</v>
      </c>
      <c r="U68" s="23">
        <f>IFERROR(VLOOKUP(P68,[47]conductor_pz_summary_hftd_23_re!$B$2:$Q$3636,13,FALSE),0)</f>
        <v>2.9900681309674498E-3</v>
      </c>
      <c r="V68" s="79">
        <f>IFERROR(VLOOKUP(P68,conductor_pz_summary_hftd_23_re!$B$2:$N$3636,13,FALSE),0)</f>
        <v>2128</v>
      </c>
      <c r="W68" s="65">
        <f>(AJ68*0.67+AK68*0.99+AL68+AM68*0.99)/(SUM(AJ68:AM68))*T68*(F68/R68)</f>
        <v>3.2968256142213208E-2</v>
      </c>
      <c r="X68" s="23">
        <v>2</v>
      </c>
      <c r="Y68" s="23" t="s">
        <v>4873</v>
      </c>
      <c r="Z68" s="23" t="s">
        <v>4888</v>
      </c>
      <c r="AA68" s="19" t="s">
        <v>4967</v>
      </c>
      <c r="AB68" s="19" t="s">
        <v>4968</v>
      </c>
      <c r="AC68" s="19" t="s">
        <v>4969</v>
      </c>
      <c r="AD68" s="19" t="s">
        <v>4963</v>
      </c>
      <c r="AE68" s="23">
        <v>5785986</v>
      </c>
      <c r="AF68" s="23" t="s">
        <v>5054</v>
      </c>
      <c r="AG68" s="23">
        <v>117490035</v>
      </c>
      <c r="AH68" s="35">
        <v>35115054</v>
      </c>
      <c r="AI68" s="23" t="s">
        <v>5055</v>
      </c>
      <c r="AJ68" s="23">
        <v>7529</v>
      </c>
      <c r="AK68" s="23">
        <v>0</v>
      </c>
      <c r="AL68" s="23">
        <v>0</v>
      </c>
      <c r="AM68" s="23">
        <v>0</v>
      </c>
      <c r="AO68" s="60" t="s">
        <v>4985</v>
      </c>
      <c r="AP68" s="23">
        <v>10348.799999999999</v>
      </c>
      <c r="AQ68" s="41">
        <v>1.96</v>
      </c>
      <c r="AR68" s="42">
        <v>2137840</v>
      </c>
      <c r="AS68" s="60" t="s">
        <v>4986</v>
      </c>
      <c r="AT68" s="19">
        <v>0</v>
      </c>
      <c r="AU68" s="19">
        <v>0</v>
      </c>
      <c r="AV68" s="19">
        <v>7255</v>
      </c>
      <c r="AW68" s="23">
        <f>SUM(AT68:AV68)</f>
        <v>7255</v>
      </c>
      <c r="AX68" s="41">
        <f>AW68/5280</f>
        <v>1.3740530303030303</v>
      </c>
      <c r="AY68" s="44">
        <v>2638181.8181818184</v>
      </c>
      <c r="AZ68" s="60" t="s">
        <v>5056</v>
      </c>
      <c r="BA68" s="62" t="s">
        <v>5057</v>
      </c>
      <c r="BB68" s="23">
        <v>0</v>
      </c>
      <c r="BC68" s="23">
        <v>0</v>
      </c>
      <c r="BD68" s="23">
        <v>7529</v>
      </c>
      <c r="BE68" s="23">
        <v>7529</v>
      </c>
      <c r="BF68" s="41">
        <v>1.4259469696969698</v>
      </c>
      <c r="BG68" s="45">
        <v>2482662</v>
      </c>
      <c r="BH68" s="42">
        <v>3789178</v>
      </c>
      <c r="BI68" s="46">
        <v>329.74657989108778</v>
      </c>
    </row>
    <row r="69" spans="1:61" s="19" customFormat="1" x14ac:dyDescent="0.25">
      <c r="A69" s="55">
        <v>35115050</v>
      </c>
      <c r="B69" s="106" t="s">
        <v>5463</v>
      </c>
      <c r="C69" s="23">
        <v>20</v>
      </c>
      <c r="D69" s="23" t="s">
        <v>4871</v>
      </c>
      <c r="E69" s="110">
        <v>2021014</v>
      </c>
      <c r="F69" s="23">
        <v>1.61</v>
      </c>
      <c r="G69" s="37">
        <f>F69-K69</f>
        <v>1.61</v>
      </c>
      <c r="H69" s="20">
        <v>2020</v>
      </c>
      <c r="I69" s="37">
        <v>0</v>
      </c>
      <c r="J69" s="37"/>
      <c r="K69" s="37">
        <f>SUM(I69:J69)</f>
        <v>0</v>
      </c>
      <c r="L69" s="21">
        <v>773237.52</v>
      </c>
      <c r="M69" s="23" t="s">
        <v>4966</v>
      </c>
      <c r="N69" s="22">
        <v>163661701</v>
      </c>
      <c r="O69" s="19" t="s">
        <v>2475</v>
      </c>
      <c r="P69" s="23" t="s">
        <v>2482</v>
      </c>
      <c r="Q69" s="38">
        <f>IFERROR(VLOOKUP(P69,[47]conductor_pz_summary_hftd_23_re!$B$2:$Q$3636,8,FALSE),0)</f>
        <v>187</v>
      </c>
      <c r="R69" s="38">
        <f>IFERROR(VLOOKUP(P69,[48]conductor_pz_summary_hftd_23_re!$B$2:$H$3636,7,0),0)/1609</f>
        <v>16.249408441667743</v>
      </c>
      <c r="S69" s="23">
        <f>IFERROR(VLOOKUP(P69,[47]conductor_pz_summary_hftd_23_re!$B$2:$Q$3636,14,FALSE),0)</f>
        <v>2353</v>
      </c>
      <c r="T69" s="23">
        <f>IFERROR(U69*Q69,0)</f>
        <v>0.55914274049091306</v>
      </c>
      <c r="U69" s="23">
        <f>IFERROR(VLOOKUP(P69,[47]conductor_pz_summary_hftd_23_re!$B$2:$Q$3636,13,FALSE),0)</f>
        <v>2.9900681309674498E-3</v>
      </c>
      <c r="V69" s="79">
        <f>IFERROR(VLOOKUP(P69,conductor_pz_summary_hftd_23_re!$B$2:$N$3636,13,FALSE),0)</f>
        <v>2128</v>
      </c>
      <c r="W69" s="65">
        <f>(AJ69*0.67+AK69*0.99+AL69+AM69*0.99)/(SUM(AJ69:AM69))*T69*(F69/R69)</f>
        <v>3.7118106565708589E-2</v>
      </c>
      <c r="X69" s="23">
        <v>2</v>
      </c>
      <c r="Y69" s="23" t="s">
        <v>4873</v>
      </c>
      <c r="Z69" s="23" t="s">
        <v>4888</v>
      </c>
      <c r="AA69" s="19" t="s">
        <v>4967</v>
      </c>
      <c r="AB69" s="19" t="s">
        <v>4968</v>
      </c>
      <c r="AC69" s="19" t="s">
        <v>4969</v>
      </c>
      <c r="AD69" s="19" t="s">
        <v>4963</v>
      </c>
      <c r="AE69" s="23">
        <v>5785972</v>
      </c>
      <c r="AF69" s="23" t="s">
        <v>5045</v>
      </c>
      <c r="AG69" s="23">
        <v>117495948</v>
      </c>
      <c r="AH69" s="55">
        <v>35115050</v>
      </c>
      <c r="AI69" s="23" t="s">
        <v>5046</v>
      </c>
      <c r="AJ69" s="23">
        <v>8512</v>
      </c>
      <c r="AK69" s="23">
        <v>0</v>
      </c>
      <c r="AL69" s="23">
        <v>0</v>
      </c>
      <c r="AM69" s="23">
        <v>0</v>
      </c>
      <c r="AO69" s="60" t="s">
        <v>4972</v>
      </c>
      <c r="AP69" s="23">
        <v>12165.119999999999</v>
      </c>
      <c r="AQ69" s="41">
        <v>2.3039999999999998</v>
      </c>
      <c r="AR69" s="42">
        <v>2436520</v>
      </c>
      <c r="AS69" s="60" t="s">
        <v>4973</v>
      </c>
      <c r="AT69" s="19">
        <v>0</v>
      </c>
      <c r="AU69" s="19">
        <v>0</v>
      </c>
      <c r="AV69" s="19">
        <v>8270</v>
      </c>
      <c r="AW69" s="23">
        <f>SUM(AT69:AV69)</f>
        <v>8270</v>
      </c>
      <c r="AX69" s="41">
        <f>AW69/5280</f>
        <v>1.5662878787878789</v>
      </c>
      <c r="AY69" s="44">
        <v>3007272.7272727275</v>
      </c>
      <c r="AZ69" s="40" t="s">
        <v>5047</v>
      </c>
      <c r="BA69" s="58" t="s">
        <v>5048</v>
      </c>
      <c r="BB69" s="23">
        <v>0</v>
      </c>
      <c r="BC69" s="23">
        <v>0</v>
      </c>
      <c r="BD69" s="23">
        <v>8512</v>
      </c>
      <c r="BE69" s="23">
        <v>8512</v>
      </c>
      <c r="BF69" s="41">
        <v>1.6121212121212121</v>
      </c>
      <c r="BG69" s="45">
        <v>2809593</v>
      </c>
      <c r="BH69" s="42">
        <v>4091239</v>
      </c>
      <c r="BI69" s="46">
        <v>330.07436560150376</v>
      </c>
    </row>
    <row r="70" spans="1:61" s="19" customFormat="1" x14ac:dyDescent="0.25">
      <c r="A70" s="35">
        <v>35115055</v>
      </c>
      <c r="B70" s="106" t="s">
        <v>5463</v>
      </c>
      <c r="C70" s="23">
        <v>20</v>
      </c>
      <c r="D70" s="23" t="s">
        <v>4871</v>
      </c>
      <c r="E70" s="110">
        <v>2021015</v>
      </c>
      <c r="F70" s="23">
        <v>2.13</v>
      </c>
      <c r="G70" s="37">
        <f>F70-K70</f>
        <v>2.13</v>
      </c>
      <c r="H70" s="20">
        <v>2020</v>
      </c>
      <c r="I70" s="37">
        <v>0</v>
      </c>
      <c r="J70" s="37"/>
      <c r="K70" s="37">
        <f>SUM(I70:J70)</f>
        <v>0</v>
      </c>
      <c r="L70" s="21">
        <v>732981.14</v>
      </c>
      <c r="M70" s="23" t="s">
        <v>4966</v>
      </c>
      <c r="N70" s="22">
        <v>163661701</v>
      </c>
      <c r="O70" s="19" t="s">
        <v>2475</v>
      </c>
      <c r="P70" s="23" t="s">
        <v>2482</v>
      </c>
      <c r="Q70" s="38">
        <f>IFERROR(VLOOKUP(P70,[47]conductor_pz_summary_hftd_23_re!$B$2:$Q$3636,8,FALSE),0)</f>
        <v>187</v>
      </c>
      <c r="R70" s="38">
        <f>IFERROR(VLOOKUP(P70,[48]conductor_pz_summary_hftd_23_re!$B$2:$H$3636,7,0),0)/1609</f>
        <v>16.249408441667743</v>
      </c>
      <c r="S70" s="23">
        <f>IFERROR(VLOOKUP(P70,[47]conductor_pz_summary_hftd_23_re!$B$2:$Q$3636,14,FALSE),0)</f>
        <v>2353</v>
      </c>
      <c r="T70" s="23">
        <f>IFERROR(U70*Q70,0)</f>
        <v>0.55914274049091306</v>
      </c>
      <c r="U70" s="23">
        <f>IFERROR(VLOOKUP(P70,[47]conductor_pz_summary_hftd_23_re!$B$2:$Q$3636,13,FALSE),0)</f>
        <v>2.9900681309674498E-3</v>
      </c>
      <c r="V70" s="79">
        <f>IFERROR(VLOOKUP(P70,conductor_pz_summary_hftd_23_re!$B$2:$N$3636,13,FALSE),0)</f>
        <v>2128</v>
      </c>
      <c r="W70" s="65">
        <f>(AJ70*0.67+AK70*0.99+AL70+AM70*0.99)/(SUM(AJ70:AM70))*T70*(F70/R70)</f>
        <v>4.9106563344695209E-2</v>
      </c>
      <c r="X70" s="23">
        <v>2</v>
      </c>
      <c r="Y70" s="23" t="s">
        <v>4912</v>
      </c>
      <c r="Z70" s="23" t="s">
        <v>4888</v>
      </c>
      <c r="AA70" s="19" t="s">
        <v>4967</v>
      </c>
      <c r="AB70" s="19" t="s">
        <v>4968</v>
      </c>
      <c r="AC70" s="19" t="s">
        <v>4969</v>
      </c>
      <c r="AD70" s="19" t="s">
        <v>4963</v>
      </c>
      <c r="AE70" s="23">
        <v>5785987</v>
      </c>
      <c r="AF70" s="23" t="s">
        <v>5058</v>
      </c>
      <c r="AG70" s="23">
        <v>117490481</v>
      </c>
      <c r="AH70" s="35">
        <v>35115055</v>
      </c>
      <c r="AI70" s="23" t="s">
        <v>5059</v>
      </c>
      <c r="AJ70" s="23">
        <v>11269</v>
      </c>
      <c r="AK70" s="23">
        <v>0</v>
      </c>
      <c r="AL70" s="23">
        <v>0</v>
      </c>
      <c r="AM70" s="23">
        <v>0</v>
      </c>
      <c r="AO70" s="60" t="s">
        <v>4985</v>
      </c>
      <c r="AP70" s="23">
        <v>10348.799999999999</v>
      </c>
      <c r="AQ70" s="41">
        <v>1.96</v>
      </c>
      <c r="AR70" s="42">
        <v>2137840</v>
      </c>
      <c r="AS70" s="60" t="s">
        <v>4986</v>
      </c>
      <c r="AT70" s="19">
        <v>0</v>
      </c>
      <c r="AU70" s="19">
        <v>0</v>
      </c>
      <c r="AV70" s="19">
        <v>11088</v>
      </c>
      <c r="AW70" s="23">
        <f>SUM(AT70:AV70)</f>
        <v>11088</v>
      </c>
      <c r="AX70" s="41">
        <f>AW70/5280</f>
        <v>2.1</v>
      </c>
      <c r="AY70" s="44">
        <v>4032000</v>
      </c>
      <c r="AZ70" s="58" t="s">
        <v>5060</v>
      </c>
      <c r="BA70" s="58" t="s">
        <v>5061</v>
      </c>
      <c r="BB70" s="23">
        <v>0</v>
      </c>
      <c r="BC70" s="23">
        <v>0</v>
      </c>
      <c r="BD70" s="23">
        <v>11269</v>
      </c>
      <c r="BE70" s="23">
        <v>11269</v>
      </c>
      <c r="BF70" s="41">
        <v>2.134280303030303</v>
      </c>
      <c r="BG70" s="45">
        <v>2901359</v>
      </c>
      <c r="BH70" s="42">
        <v>3784068</v>
      </c>
      <c r="BI70" s="46">
        <v>257.4637501109238</v>
      </c>
    </row>
    <row r="71" spans="1:61" s="19" customFormat="1" x14ac:dyDescent="0.25">
      <c r="A71" s="55">
        <v>35115053</v>
      </c>
      <c r="B71" s="106" t="s">
        <v>5463</v>
      </c>
      <c r="C71" s="23">
        <v>20</v>
      </c>
      <c r="D71" s="23" t="s">
        <v>4871</v>
      </c>
      <c r="E71" s="110">
        <v>2021016</v>
      </c>
      <c r="F71" s="23">
        <v>1.72</v>
      </c>
      <c r="G71" s="37">
        <f>F71-K71</f>
        <v>1.72</v>
      </c>
      <c r="H71" s="20">
        <v>2020</v>
      </c>
      <c r="I71" s="37">
        <v>0</v>
      </c>
      <c r="J71" s="37"/>
      <c r="K71" s="37">
        <f>SUM(I71:J71)</f>
        <v>0</v>
      </c>
      <c r="L71" s="21">
        <v>603358.67000000004</v>
      </c>
      <c r="M71" s="23" t="s">
        <v>4966</v>
      </c>
      <c r="N71" s="22">
        <v>163661701</v>
      </c>
      <c r="O71" s="19" t="s">
        <v>2475</v>
      </c>
      <c r="P71" s="23" t="s">
        <v>2482</v>
      </c>
      <c r="Q71" s="38">
        <f>IFERROR(VLOOKUP(P71,[47]conductor_pz_summary_hftd_23_re!$B$2:$Q$3636,8,FALSE),0)</f>
        <v>187</v>
      </c>
      <c r="R71" s="38">
        <f>IFERROR(VLOOKUP(P71,[48]conductor_pz_summary_hftd_23_re!$B$2:$H$3636,7,0),0)/1609</f>
        <v>16.249408441667743</v>
      </c>
      <c r="S71" s="23">
        <f>IFERROR(VLOOKUP(P71,[47]conductor_pz_summary_hftd_23_re!$B$2:$Q$3636,14,FALSE),0)</f>
        <v>2353</v>
      </c>
      <c r="T71" s="23">
        <f>IFERROR(U71*Q71,0)</f>
        <v>0.55914274049091306</v>
      </c>
      <c r="U71" s="23">
        <f>IFERROR(VLOOKUP(P71,[47]conductor_pz_summary_hftd_23_re!$B$2:$Q$3636,13,FALSE),0)</f>
        <v>2.9900681309674498E-3</v>
      </c>
      <c r="V71" s="79">
        <f>IFERROR(VLOOKUP(P71,conductor_pz_summary_hftd_23_re!$B$2:$N$3636,13,FALSE),0)</f>
        <v>2128</v>
      </c>
      <c r="W71" s="65">
        <f>(AJ71*0.67+AK71*0.99+AL71+AM71*0.99)/(SUM(AJ71:AM71))*T71*(F71/R71)</f>
        <v>3.9654126268955751E-2</v>
      </c>
      <c r="X71" s="23">
        <v>2</v>
      </c>
      <c r="Y71" s="23" t="s">
        <v>4873</v>
      </c>
      <c r="Z71" s="23" t="s">
        <v>4888</v>
      </c>
      <c r="AA71" s="19" t="s">
        <v>4967</v>
      </c>
      <c r="AB71" s="19" t="s">
        <v>4968</v>
      </c>
      <c r="AC71" s="19" t="s">
        <v>4969</v>
      </c>
      <c r="AD71" s="19" t="s">
        <v>4963</v>
      </c>
      <c r="AE71" s="23">
        <v>5785975</v>
      </c>
      <c r="AF71" s="23" t="s">
        <v>5049</v>
      </c>
      <c r="AG71" s="23">
        <v>117496041</v>
      </c>
      <c r="AH71" s="55">
        <v>35115053</v>
      </c>
      <c r="AI71" s="23" t="s">
        <v>5050</v>
      </c>
      <c r="AJ71" s="23">
        <v>9083</v>
      </c>
      <c r="AK71" s="23">
        <v>0</v>
      </c>
      <c r="AL71" s="23">
        <v>0</v>
      </c>
      <c r="AM71" s="23">
        <v>0</v>
      </c>
      <c r="AO71" s="60" t="s">
        <v>4972</v>
      </c>
      <c r="AP71" s="23">
        <v>12165.119999999999</v>
      </c>
      <c r="AQ71" s="41">
        <v>2.3039999999999998</v>
      </c>
      <c r="AR71" s="42">
        <v>2436520</v>
      </c>
      <c r="AS71" s="60" t="s">
        <v>4973</v>
      </c>
      <c r="AT71" s="19">
        <v>0</v>
      </c>
      <c r="AU71" s="19">
        <v>0</v>
      </c>
      <c r="AV71" s="19">
        <v>9571</v>
      </c>
      <c r="AW71" s="23">
        <f>SUM(AT71:AV71)</f>
        <v>9571</v>
      </c>
      <c r="AX71" s="41">
        <f>AW71/5280</f>
        <v>1.812689393939394</v>
      </c>
      <c r="AY71" s="44">
        <v>3480363.6363636362</v>
      </c>
      <c r="AZ71" s="40" t="s">
        <v>5051</v>
      </c>
      <c r="BA71" s="58" t="s">
        <v>5052</v>
      </c>
      <c r="BB71" s="23">
        <v>0</v>
      </c>
      <c r="BC71" s="23">
        <v>0</v>
      </c>
      <c r="BD71" s="23">
        <v>9083</v>
      </c>
      <c r="BE71" s="23">
        <v>9083</v>
      </c>
      <c r="BF71" s="41">
        <v>1.7202651515151515</v>
      </c>
      <c r="BG71" s="45">
        <v>1670418</v>
      </c>
      <c r="BH71" s="42">
        <v>2296559</v>
      </c>
      <c r="BI71" s="46">
        <v>183.90597820103491</v>
      </c>
    </row>
    <row r="72" spans="1:61" s="19" customFormat="1" x14ac:dyDescent="0.25">
      <c r="A72" s="35">
        <v>35052821</v>
      </c>
      <c r="B72" s="106" t="s">
        <v>5463</v>
      </c>
      <c r="C72" s="23">
        <v>20</v>
      </c>
      <c r="D72" s="23" t="s">
        <v>4871</v>
      </c>
      <c r="E72" s="110">
        <v>2021017</v>
      </c>
      <c r="F72" s="23">
        <v>2.0699999999999998</v>
      </c>
      <c r="G72" s="37">
        <f>F72-K72</f>
        <v>2.0699999999999998</v>
      </c>
      <c r="H72" s="20">
        <v>2020</v>
      </c>
      <c r="I72" s="37">
        <v>0</v>
      </c>
      <c r="J72" s="37"/>
      <c r="K72" s="37">
        <f>SUM(I72:J72)</f>
        <v>0</v>
      </c>
      <c r="L72" s="21">
        <v>540223.35</v>
      </c>
      <c r="M72" s="23" t="s">
        <v>4966</v>
      </c>
      <c r="N72" s="22">
        <v>163661701</v>
      </c>
      <c r="O72" s="19" t="s">
        <v>2475</v>
      </c>
      <c r="P72" s="23" t="s">
        <v>2482</v>
      </c>
      <c r="Q72" s="38">
        <f>IFERROR(VLOOKUP(P72,[47]conductor_pz_summary_hftd_23_re!$B$2:$Q$3636,8,FALSE),0)</f>
        <v>187</v>
      </c>
      <c r="R72" s="38">
        <f>IFERROR(VLOOKUP(P72,[48]conductor_pz_summary_hftd_23_re!$B$2:$H$3636,7,0),0)/1609</f>
        <v>16.249408441667743</v>
      </c>
      <c r="S72" s="23">
        <f>IFERROR(VLOOKUP(P72,[47]conductor_pz_summary_hftd_23_re!$B$2:$Q$3636,14,FALSE),0)</f>
        <v>2353</v>
      </c>
      <c r="T72" s="23">
        <f>IFERROR(U72*Q72,0)</f>
        <v>0.55914274049091306</v>
      </c>
      <c r="U72" s="23">
        <f>IFERROR(VLOOKUP(P72,[47]conductor_pz_summary_hftd_23_re!$B$2:$Q$3636,13,FALSE),0)</f>
        <v>2.9900681309674498E-3</v>
      </c>
      <c r="V72" s="79">
        <f>IFERROR(VLOOKUP(P72,conductor_pz_summary_hftd_23_re!$B$2:$N$3636,13,FALSE),0)</f>
        <v>2128</v>
      </c>
      <c r="W72" s="65">
        <f>(AJ72*0.67+AK72*0.99+AL72+AM72*0.99)/(SUM(AJ72:AM72))*T72*(F72/R72)</f>
        <v>4.7723279870196748E-2</v>
      </c>
      <c r="X72" s="23">
        <v>2</v>
      </c>
      <c r="Y72" s="23" t="s">
        <v>4873</v>
      </c>
      <c r="Z72" s="23" t="s">
        <v>4888</v>
      </c>
      <c r="AA72" s="19" t="s">
        <v>4967</v>
      </c>
      <c r="AB72" s="19" t="s">
        <v>4968</v>
      </c>
      <c r="AC72" s="19" t="s">
        <v>4969</v>
      </c>
      <c r="AD72" s="19" t="s">
        <v>4963</v>
      </c>
      <c r="AE72" s="23">
        <v>5784646</v>
      </c>
      <c r="AF72" s="23" t="s">
        <v>4970</v>
      </c>
      <c r="AG72" s="23">
        <v>114593976</v>
      </c>
      <c r="AH72" s="35">
        <v>35052821</v>
      </c>
      <c r="AI72" s="23" t="s">
        <v>4971</v>
      </c>
      <c r="AJ72" s="23">
        <v>10953</v>
      </c>
      <c r="AK72" s="23">
        <v>0</v>
      </c>
      <c r="AL72" s="23">
        <v>0</v>
      </c>
      <c r="AM72" s="23">
        <v>0</v>
      </c>
      <c r="AO72" s="60" t="s">
        <v>4972</v>
      </c>
      <c r="AP72" s="23">
        <v>12165.119999999999</v>
      </c>
      <c r="AQ72" s="41">
        <v>2.3039999999999998</v>
      </c>
      <c r="AR72" s="42">
        <v>2436520</v>
      </c>
      <c r="AS72" s="60" t="s">
        <v>4973</v>
      </c>
      <c r="AT72" s="19">
        <v>0</v>
      </c>
      <c r="AU72" s="19">
        <v>0</v>
      </c>
      <c r="AV72" s="19">
        <v>9750</v>
      </c>
      <c r="AW72" s="23">
        <f>SUM(AT72:AV72)</f>
        <v>9750</v>
      </c>
      <c r="AX72" s="41">
        <f>AW72/5280</f>
        <v>1.8465909090909092</v>
      </c>
      <c r="AY72" s="44">
        <v>3545454.5454545454</v>
      </c>
      <c r="AZ72" s="60" t="s">
        <v>4974</v>
      </c>
      <c r="BA72" s="58" t="s">
        <v>4975</v>
      </c>
      <c r="BB72" s="23">
        <v>0</v>
      </c>
      <c r="BC72" s="23">
        <v>0</v>
      </c>
      <c r="BD72" s="23">
        <v>10953</v>
      </c>
      <c r="BE72" s="23">
        <v>10953</v>
      </c>
      <c r="BF72" s="41">
        <v>2.074431818181818</v>
      </c>
      <c r="BG72" s="45">
        <v>3322975</v>
      </c>
      <c r="BH72" s="42">
        <v>4765282</v>
      </c>
      <c r="BI72" s="46">
        <v>303.38491737423539</v>
      </c>
    </row>
    <row r="73" spans="1:61" s="19" customFormat="1" x14ac:dyDescent="0.25">
      <c r="A73" s="35">
        <v>35056746</v>
      </c>
      <c r="B73" s="106" t="s">
        <v>5463</v>
      </c>
      <c r="C73" s="23">
        <v>20</v>
      </c>
      <c r="D73" s="23" t="s">
        <v>4871</v>
      </c>
      <c r="E73" s="110">
        <v>2021018</v>
      </c>
      <c r="F73" s="23">
        <v>2.0299999999999998</v>
      </c>
      <c r="G73" s="37">
        <f>F73-K73</f>
        <v>2.0299999999999998</v>
      </c>
      <c r="H73" s="20">
        <v>2020</v>
      </c>
      <c r="I73" s="37">
        <v>0</v>
      </c>
      <c r="J73" s="37"/>
      <c r="K73" s="37">
        <f>SUM(I73:J73)</f>
        <v>0</v>
      </c>
      <c r="L73" s="21">
        <v>351759.86</v>
      </c>
      <c r="M73" s="23" t="s">
        <v>4966</v>
      </c>
      <c r="N73" s="22">
        <v>163661701</v>
      </c>
      <c r="O73" s="19" t="s">
        <v>2475</v>
      </c>
      <c r="P73" s="23" t="s">
        <v>2482</v>
      </c>
      <c r="Q73" s="38">
        <f>IFERROR(VLOOKUP(P73,[47]conductor_pz_summary_hftd_23_re!$B$2:$Q$3636,8,FALSE),0)</f>
        <v>187</v>
      </c>
      <c r="R73" s="38">
        <f>IFERROR(VLOOKUP(P73,[48]conductor_pz_summary_hftd_23_re!$B$2:$H$3636,7,0),0)/1609</f>
        <v>16.249408441667743</v>
      </c>
      <c r="S73" s="23">
        <f>IFERROR(VLOOKUP(P73,[47]conductor_pz_summary_hftd_23_re!$B$2:$Q$3636,14,FALSE),0)</f>
        <v>2353</v>
      </c>
      <c r="T73" s="23">
        <f>IFERROR(U73*Q73,0)</f>
        <v>0.55914274049091306</v>
      </c>
      <c r="U73" s="23">
        <f>IFERROR(VLOOKUP(P73,[47]conductor_pz_summary_hftd_23_re!$B$2:$Q$3636,13,FALSE),0)</f>
        <v>2.9900681309674498E-3</v>
      </c>
      <c r="V73" s="79">
        <f>IFERROR(VLOOKUP(P73,conductor_pz_summary_hftd_23_re!$B$2:$N$3636,13,FALSE),0)</f>
        <v>2128</v>
      </c>
      <c r="W73" s="65">
        <f>(AJ73*0.67+AK73*0.99+AL73+AM73*0.99)/(SUM(AJ73:AM73))*T73*(F73/R73)</f>
        <v>4.680109088719777E-2</v>
      </c>
      <c r="X73" s="23">
        <v>2</v>
      </c>
      <c r="Y73" s="23" t="s">
        <v>4873</v>
      </c>
      <c r="Z73" s="23" t="s">
        <v>4888</v>
      </c>
      <c r="AA73" s="19" t="s">
        <v>4982</v>
      </c>
      <c r="AB73" s="19" t="s">
        <v>4968</v>
      </c>
      <c r="AC73" s="19" t="s">
        <v>4969</v>
      </c>
      <c r="AD73" s="19" t="s">
        <v>4963</v>
      </c>
      <c r="AE73" s="23">
        <v>5782537</v>
      </c>
      <c r="AF73" s="23" t="s">
        <v>4983</v>
      </c>
      <c r="AG73" s="23">
        <v>114996821</v>
      </c>
      <c r="AH73" s="35">
        <v>35056746</v>
      </c>
      <c r="AI73" s="23" t="s">
        <v>4984</v>
      </c>
      <c r="AJ73" s="23">
        <v>10737</v>
      </c>
      <c r="AK73" s="23">
        <v>0</v>
      </c>
      <c r="AL73" s="23">
        <v>0</v>
      </c>
      <c r="AM73" s="23">
        <v>0</v>
      </c>
      <c r="AO73" s="60" t="s">
        <v>4985</v>
      </c>
      <c r="AP73" s="23">
        <v>10348.799999999999</v>
      </c>
      <c r="AQ73" s="41">
        <v>1.96</v>
      </c>
      <c r="AR73" s="42">
        <v>2137840</v>
      </c>
      <c r="AS73" s="60" t="s">
        <v>4986</v>
      </c>
      <c r="AT73" s="19">
        <v>0</v>
      </c>
      <c r="AU73" s="19">
        <v>0</v>
      </c>
      <c r="AV73" s="19">
        <v>10615</v>
      </c>
      <c r="AW73" s="23">
        <f>SUM(AT73:AV73)</f>
        <v>10615</v>
      </c>
      <c r="AX73" s="41">
        <f>AW73/5280</f>
        <v>2.0104166666666665</v>
      </c>
      <c r="AY73" s="44">
        <v>3859999.9999999995</v>
      </c>
      <c r="AZ73" s="58" t="s">
        <v>4987</v>
      </c>
      <c r="BA73" s="58" t="s">
        <v>4988</v>
      </c>
      <c r="BB73" s="23">
        <v>0</v>
      </c>
      <c r="BC73" s="23">
        <v>0</v>
      </c>
      <c r="BD73" s="23">
        <v>10737</v>
      </c>
      <c r="BE73" s="23">
        <v>10737</v>
      </c>
      <c r="BF73" s="41">
        <v>2.0335227272727274</v>
      </c>
      <c r="BG73" s="45">
        <v>2950902</v>
      </c>
      <c r="BH73" s="42">
        <v>3642331</v>
      </c>
      <c r="BI73" s="46">
        <v>274.83487007544005</v>
      </c>
    </row>
    <row r="74" spans="1:61" s="19" customFormat="1" x14ac:dyDescent="0.25">
      <c r="A74" s="55">
        <v>35116391</v>
      </c>
      <c r="B74" s="106" t="s">
        <v>5463</v>
      </c>
      <c r="C74" s="23">
        <v>20</v>
      </c>
      <c r="D74" s="23" t="s">
        <v>5053</v>
      </c>
      <c r="E74" s="110">
        <v>2021019</v>
      </c>
      <c r="F74" s="23">
        <v>2.09</v>
      </c>
      <c r="G74" s="37">
        <f>F74-K74</f>
        <v>0.71</v>
      </c>
      <c r="H74" s="20">
        <v>2020</v>
      </c>
      <c r="I74" s="37">
        <v>1.38</v>
      </c>
      <c r="J74" s="37"/>
      <c r="K74" s="37">
        <f>SUM(I74:J74)</f>
        <v>1.38</v>
      </c>
      <c r="L74" s="21">
        <v>1379456.04</v>
      </c>
      <c r="M74" s="23" t="s">
        <v>4966</v>
      </c>
      <c r="N74" s="22">
        <v>163661702</v>
      </c>
      <c r="O74" s="19" t="s">
        <v>2484</v>
      </c>
      <c r="P74" s="23" t="s">
        <v>2494</v>
      </c>
      <c r="Q74" s="38">
        <f>IFERROR(VLOOKUP(P74,[47]conductor_pz_summary_hftd_23_re!$B$2:$Q$3636,8,FALSE),0)</f>
        <v>110</v>
      </c>
      <c r="R74" s="38">
        <f>IFERROR(VLOOKUP(P74,[48]conductor_pz_summary_hftd_23_re!$B$2:$H$3636,7,0),0)/1609</f>
        <v>9.0549841860287135</v>
      </c>
      <c r="S74" s="23">
        <f>IFERROR(VLOOKUP(P74,[47]conductor_pz_summary_hftd_23_re!$B$2:$Q$3636,14,FALSE),0)</f>
        <v>2369</v>
      </c>
      <c r="T74" s="23">
        <f>IFERROR(U74*Q74,0)</f>
        <v>0.30976900962340631</v>
      </c>
      <c r="U74" s="23">
        <f>IFERROR(VLOOKUP(P74,[47]conductor_pz_summary_hftd_23_re!$B$2:$Q$3636,13,FALSE),0)</f>
        <v>2.81608190566733E-3</v>
      </c>
      <c r="V74" s="79">
        <f>IFERROR(VLOOKUP(P74,conductor_pz_summary_hftd_23_re!$B$2:$N$3636,13,FALSE),0)</f>
        <v>2489</v>
      </c>
      <c r="W74" s="65">
        <f>(AJ74*0.67+AK74*0.99+AL74+AM74*0.99)/(SUM(AJ74:AM74))*T74*(F74/R74)</f>
        <v>4.7903953807554488E-2</v>
      </c>
      <c r="X74" s="23">
        <v>25</v>
      </c>
      <c r="Y74" s="23" t="s">
        <v>4873</v>
      </c>
      <c r="Z74" s="23" t="s">
        <v>4888</v>
      </c>
      <c r="AA74" s="19" t="s">
        <v>4967</v>
      </c>
      <c r="AB74" s="19" t="s">
        <v>4968</v>
      </c>
      <c r="AC74" s="19" t="s">
        <v>4969</v>
      </c>
      <c r="AD74" s="19" t="s">
        <v>4963</v>
      </c>
      <c r="AE74" s="23">
        <v>5785976</v>
      </c>
      <c r="AF74" s="23" t="s">
        <v>5081</v>
      </c>
      <c r="AG74" s="23">
        <v>117605551</v>
      </c>
      <c r="AH74" s="55">
        <v>35116391</v>
      </c>
      <c r="AI74" s="23" t="s">
        <v>5082</v>
      </c>
      <c r="AJ74" s="23">
        <v>11036</v>
      </c>
      <c r="AK74" s="23">
        <v>0</v>
      </c>
      <c r="AL74" s="23">
        <v>0</v>
      </c>
      <c r="AM74" s="23">
        <v>0</v>
      </c>
      <c r="AO74" s="60" t="s">
        <v>5083</v>
      </c>
      <c r="AP74" s="23">
        <v>10771.2</v>
      </c>
      <c r="AQ74" s="41">
        <v>2.04</v>
      </c>
      <c r="AR74" s="42">
        <v>2205280</v>
      </c>
      <c r="AS74" s="60" t="s">
        <v>5084</v>
      </c>
      <c r="AT74" s="19">
        <v>0</v>
      </c>
      <c r="AU74" s="19">
        <v>0</v>
      </c>
      <c r="AV74" s="19">
        <v>10840</v>
      </c>
      <c r="AW74" s="23">
        <f>SUM(AT74:AV74)</f>
        <v>10840</v>
      </c>
      <c r="AX74" s="41">
        <f>AW74/5280</f>
        <v>2.0530303030303032</v>
      </c>
      <c r="AY74" s="44">
        <v>3941818.1818181821</v>
      </c>
      <c r="AZ74" s="58" t="s">
        <v>5085</v>
      </c>
      <c r="BA74" s="58" t="s">
        <v>5086</v>
      </c>
      <c r="BB74" s="23">
        <v>0</v>
      </c>
      <c r="BC74" s="23">
        <v>0</v>
      </c>
      <c r="BD74" s="23">
        <v>11036</v>
      </c>
      <c r="BE74" s="23">
        <v>11036</v>
      </c>
      <c r="BF74" s="41">
        <v>2.0901515151515153</v>
      </c>
      <c r="BG74" s="45">
        <v>3920204</v>
      </c>
      <c r="BH74" s="42">
        <v>5835429</v>
      </c>
      <c r="BI74" s="46">
        <v>355.21964479884014</v>
      </c>
    </row>
    <row r="75" spans="1:61" s="19" customFormat="1" x14ac:dyDescent="0.25">
      <c r="A75" s="55">
        <v>35116395</v>
      </c>
      <c r="B75" s="106" t="s">
        <v>5463</v>
      </c>
      <c r="C75" s="23">
        <v>20</v>
      </c>
      <c r="D75" s="23" t="s">
        <v>4871</v>
      </c>
      <c r="E75" s="110">
        <v>2021020</v>
      </c>
      <c r="F75" s="23">
        <v>1.71</v>
      </c>
      <c r="G75" s="37">
        <f>F75-K75</f>
        <v>1.71</v>
      </c>
      <c r="H75" s="20">
        <v>2020</v>
      </c>
      <c r="I75" s="37">
        <v>0</v>
      </c>
      <c r="J75" s="37"/>
      <c r="K75" s="37">
        <f>SUM(I75:J75)</f>
        <v>0</v>
      </c>
      <c r="L75" s="21">
        <v>589389.02</v>
      </c>
      <c r="M75" s="23" t="s">
        <v>4966</v>
      </c>
      <c r="N75" s="22">
        <v>163661702</v>
      </c>
      <c r="O75" s="19" t="s">
        <v>2484</v>
      </c>
      <c r="P75" s="23" t="s">
        <v>2494</v>
      </c>
      <c r="Q75" s="38">
        <f>IFERROR(VLOOKUP(P75,[47]conductor_pz_summary_hftd_23_re!$B$2:$Q$3636,8,FALSE),0)</f>
        <v>110</v>
      </c>
      <c r="R75" s="38">
        <f>IFERROR(VLOOKUP(P75,[48]conductor_pz_summary_hftd_23_re!$B$2:$H$3636,7,0),0)/1609</f>
        <v>9.0549841860287135</v>
      </c>
      <c r="S75" s="23">
        <f>IFERROR(VLOOKUP(P75,[47]conductor_pz_summary_hftd_23_re!$B$2:$Q$3636,14,FALSE),0)</f>
        <v>2369</v>
      </c>
      <c r="T75" s="23">
        <f>IFERROR(U75*Q75,0)</f>
        <v>0.30976900962340631</v>
      </c>
      <c r="U75" s="23">
        <f>IFERROR(VLOOKUP(P75,[47]conductor_pz_summary_hftd_23_re!$B$2:$Q$3636,13,FALSE),0)</f>
        <v>2.81608190566733E-3</v>
      </c>
      <c r="V75" s="79">
        <f>IFERROR(VLOOKUP(P75,conductor_pz_summary_hftd_23_re!$B$2:$N$3636,13,FALSE),0)</f>
        <v>2489</v>
      </c>
      <c r="W75" s="65">
        <f>(AJ75*0.67+AK75*0.99+AL75+AM75*0.99)/(SUM(AJ75:AM75))*T75*(F75/R75)</f>
        <v>3.9194144024362762E-2</v>
      </c>
      <c r="X75" s="23">
        <v>25</v>
      </c>
      <c r="Y75" s="23" t="s">
        <v>4873</v>
      </c>
      <c r="Z75" s="23" t="s">
        <v>4888</v>
      </c>
      <c r="AA75" s="19" t="s">
        <v>4967</v>
      </c>
      <c r="AB75" s="19" t="s">
        <v>4968</v>
      </c>
      <c r="AC75" s="19" t="s">
        <v>4969</v>
      </c>
      <c r="AD75" s="19" t="s">
        <v>4963</v>
      </c>
      <c r="AE75" s="23">
        <v>5785979</v>
      </c>
      <c r="AF75" s="23" t="s">
        <v>5087</v>
      </c>
      <c r="AG75" s="23">
        <v>117605558</v>
      </c>
      <c r="AH75" s="55">
        <v>35116395</v>
      </c>
      <c r="AI75" s="23" t="s">
        <v>5088</v>
      </c>
      <c r="AJ75" s="23">
        <v>9032</v>
      </c>
      <c r="AK75" s="23">
        <v>0</v>
      </c>
      <c r="AL75" s="23">
        <v>0</v>
      </c>
      <c r="AM75" s="23">
        <v>0</v>
      </c>
      <c r="AO75" s="60" t="s">
        <v>5083</v>
      </c>
      <c r="AP75" s="23">
        <v>10771.2</v>
      </c>
      <c r="AQ75" s="41">
        <v>2.04</v>
      </c>
      <c r="AR75" s="42">
        <v>2205280</v>
      </c>
      <c r="AS75" s="60" t="s">
        <v>5084</v>
      </c>
      <c r="AT75" s="19">
        <v>0</v>
      </c>
      <c r="AU75" s="19">
        <v>0</v>
      </c>
      <c r="AV75" s="19">
        <v>7500</v>
      </c>
      <c r="AW75" s="23">
        <f>SUM(AT75:AV75)</f>
        <v>7500</v>
      </c>
      <c r="AX75" s="41">
        <f>AW75/5280</f>
        <v>1.4204545454545454</v>
      </c>
      <c r="AY75" s="44">
        <v>2727272.7272727271</v>
      </c>
      <c r="AZ75" s="60" t="s">
        <v>5089</v>
      </c>
      <c r="BA75" s="58" t="s">
        <v>5090</v>
      </c>
      <c r="BB75" s="23">
        <v>0</v>
      </c>
      <c r="BC75" s="23">
        <v>0</v>
      </c>
      <c r="BD75" s="23">
        <v>9032</v>
      </c>
      <c r="BE75" s="23">
        <v>9032</v>
      </c>
      <c r="BF75" s="41">
        <v>1.7106060606060607</v>
      </c>
      <c r="BG75" s="45">
        <v>2479935</v>
      </c>
      <c r="BH75" s="42">
        <v>3714853</v>
      </c>
      <c r="BI75" s="46">
        <v>274.57207705934456</v>
      </c>
    </row>
    <row r="76" spans="1:61" s="19" customFormat="1" x14ac:dyDescent="0.25">
      <c r="A76" s="55">
        <v>35116800</v>
      </c>
      <c r="B76" s="106" t="s">
        <v>5463</v>
      </c>
      <c r="C76" s="23">
        <v>20</v>
      </c>
      <c r="D76" s="23" t="s">
        <v>5053</v>
      </c>
      <c r="E76" s="110">
        <v>2021021</v>
      </c>
      <c r="F76" s="23">
        <v>1.425</v>
      </c>
      <c r="G76" s="37">
        <f>F76-K76</f>
        <v>1.175</v>
      </c>
      <c r="H76" s="20">
        <v>2020</v>
      </c>
      <c r="I76" s="37">
        <v>0.25</v>
      </c>
      <c r="J76" s="37"/>
      <c r="K76" s="37">
        <f>SUM(I76:J76)</f>
        <v>0.25</v>
      </c>
      <c r="L76" s="21">
        <v>1151378.1599999999</v>
      </c>
      <c r="M76" s="23" t="s">
        <v>4966</v>
      </c>
      <c r="N76" s="22">
        <v>163661702</v>
      </c>
      <c r="O76" s="19" t="s">
        <v>2484</v>
      </c>
      <c r="P76" s="23" t="s">
        <v>2492</v>
      </c>
      <c r="Q76" s="38">
        <f>IFERROR(VLOOKUP(P76,[47]conductor_pz_summary_hftd_23_re!$B$2:$Q$3636,8,FALSE),0)</f>
        <v>231</v>
      </c>
      <c r="R76" s="38">
        <f>IFERROR(VLOOKUP(P76,[48]conductor_pz_summary_hftd_23_re!$B$2:$H$3636,7,0),0)/1609</f>
        <v>19.731845806481232</v>
      </c>
      <c r="S76" s="23">
        <f>IFERROR(VLOOKUP(P76,[47]conductor_pz_summary_hftd_23_re!$B$2:$Q$3636,14,FALSE),0)</f>
        <v>2411</v>
      </c>
      <c r="T76" s="23">
        <f>IFERROR(U76*Q76,0)</f>
        <v>0.57976134322032924</v>
      </c>
      <c r="U76" s="23">
        <f>IFERROR(VLOOKUP(P76,[47]conductor_pz_summary_hftd_23_re!$B$2:$Q$3636,13,FALSE),0)</f>
        <v>2.5097893645901698E-3</v>
      </c>
      <c r="V76" s="79">
        <f>IFERROR(VLOOKUP(P76,conductor_pz_summary_hftd_23_re!$B$2:$N$3636,13,FALSE),0)</f>
        <v>2266</v>
      </c>
      <c r="W76" s="65">
        <f>(AJ76*0.67+AK76*0.99+AL76+AM76*0.99)/(SUM(AJ76:AM76))*T76*(F76/R76)</f>
        <v>2.8052476583705858E-2</v>
      </c>
      <c r="X76" s="23">
        <v>23</v>
      </c>
      <c r="Y76" s="23" t="s">
        <v>4873</v>
      </c>
      <c r="Z76" s="23" t="s">
        <v>4888</v>
      </c>
      <c r="AA76" s="19" t="s">
        <v>4967</v>
      </c>
      <c r="AB76" s="19" t="s">
        <v>4968</v>
      </c>
      <c r="AC76" s="19" t="s">
        <v>4969</v>
      </c>
      <c r="AD76" s="19" t="s">
        <v>4963</v>
      </c>
      <c r="AE76" s="23">
        <v>5785961</v>
      </c>
      <c r="AF76" s="23" t="s">
        <v>5101</v>
      </c>
      <c r="AG76" s="23">
        <v>117605265</v>
      </c>
      <c r="AH76" s="55">
        <v>35116800</v>
      </c>
      <c r="AI76" s="23" t="s">
        <v>5102</v>
      </c>
      <c r="AJ76" s="23">
        <v>7525</v>
      </c>
      <c r="AK76" s="23">
        <v>0</v>
      </c>
      <c r="AL76" s="23">
        <v>0</v>
      </c>
      <c r="AM76" s="23">
        <v>0</v>
      </c>
      <c r="AO76" s="58" t="s">
        <v>5103</v>
      </c>
      <c r="AP76" s="23">
        <v>9398.4</v>
      </c>
      <c r="AQ76" s="41">
        <v>1.78</v>
      </c>
      <c r="AR76" s="42">
        <v>1921966</v>
      </c>
      <c r="AS76" s="58" t="s">
        <v>5104</v>
      </c>
      <c r="AT76" s="19">
        <v>0</v>
      </c>
      <c r="AU76" s="19">
        <v>0</v>
      </c>
      <c r="AV76" s="19">
        <v>6695</v>
      </c>
      <c r="AW76" s="23">
        <f>SUM(AT76:AV76)</f>
        <v>6695</v>
      </c>
      <c r="AX76" s="41">
        <f>AW76/5280</f>
        <v>1.2679924242424243</v>
      </c>
      <c r="AY76" s="44">
        <v>2434545.4545454546</v>
      </c>
      <c r="AZ76" s="60" t="s">
        <v>5105</v>
      </c>
      <c r="BA76" s="58" t="s">
        <v>5106</v>
      </c>
      <c r="BB76" s="23">
        <v>0</v>
      </c>
      <c r="BC76" s="23">
        <v>0</v>
      </c>
      <c r="BD76" s="23">
        <v>7525</v>
      </c>
      <c r="BE76" s="23">
        <v>7525</v>
      </c>
      <c r="BF76" s="41">
        <v>1.425189393939394</v>
      </c>
      <c r="BG76" s="45">
        <v>2704457</v>
      </c>
      <c r="BH76" s="42">
        <v>4030625</v>
      </c>
      <c r="BI76" s="46">
        <v>359.39627906976744</v>
      </c>
    </row>
    <row r="77" spans="1:61" s="19" customFormat="1" x14ac:dyDescent="0.25">
      <c r="A77" s="59">
        <v>35114100</v>
      </c>
      <c r="B77" s="106" t="s">
        <v>5463</v>
      </c>
      <c r="C77" s="23">
        <v>20</v>
      </c>
      <c r="D77" s="23" t="s">
        <v>4871</v>
      </c>
      <c r="E77" s="110">
        <v>2021022</v>
      </c>
      <c r="F77" s="23">
        <v>1.04</v>
      </c>
      <c r="G77" s="37">
        <f>F77-K77</f>
        <v>1.04</v>
      </c>
      <c r="H77" s="20">
        <v>2020</v>
      </c>
      <c r="I77" s="37">
        <v>0</v>
      </c>
      <c r="J77" s="37"/>
      <c r="K77" s="37">
        <f>SUM(I77:J77)</f>
        <v>0</v>
      </c>
      <c r="L77" s="21">
        <v>384877.49</v>
      </c>
      <c r="M77" s="23" t="s">
        <v>4966</v>
      </c>
      <c r="N77" s="22">
        <v>83622106</v>
      </c>
      <c r="O77" s="19" t="s">
        <v>667</v>
      </c>
      <c r="P77" s="23" t="s">
        <v>677</v>
      </c>
      <c r="Q77" s="38">
        <f>IFERROR(VLOOKUP(P77,[47]conductor_pz_summary_hftd_23_re!$B$2:$Q$3636,8,FALSE),0)</f>
        <v>185</v>
      </c>
      <c r="R77" s="38">
        <f>IFERROR(VLOOKUP(P77,[48]conductor_pz_summary_hftd_23_re!$B$2:$H$3636,7,0),0)/1609</f>
        <v>15.07341914252194</v>
      </c>
      <c r="S77" s="23">
        <f>IFERROR(VLOOKUP(P77,[47]conductor_pz_summary_hftd_23_re!$B$2:$Q$3636,14,FALSE),0)</f>
        <v>2464</v>
      </c>
      <c r="T77" s="23">
        <f>IFERROR(U77*Q77,0)</f>
        <v>0.3933956785559482</v>
      </c>
      <c r="U77" s="23">
        <f>IFERROR(VLOOKUP(P77,[47]conductor_pz_summary_hftd_23_re!$B$2:$Q$3636,13,FALSE),0)</f>
        <v>2.1264631273294498E-3</v>
      </c>
      <c r="V77" s="79">
        <f>IFERROR(VLOOKUP(P77,conductor_pz_summary_hftd_23_re!$B$2:$N$3636,13,FALSE),0)</f>
        <v>2540</v>
      </c>
      <c r="W77" s="65">
        <f>(AJ77*0.67+AK77*0.99+AL77+AM77*0.99)/(SUM(AJ77:AM77))*T77*(F77/R77)</f>
        <v>1.8185529522263513E-2</v>
      </c>
      <c r="X77" s="23">
        <v>46</v>
      </c>
      <c r="Y77" s="23" t="s">
        <v>4873</v>
      </c>
      <c r="Z77" s="23" t="s">
        <v>4888</v>
      </c>
      <c r="AA77" s="19" t="s">
        <v>5037</v>
      </c>
      <c r="AB77" s="19" t="s">
        <v>5038</v>
      </c>
      <c r="AC77" s="19" t="s">
        <v>5039</v>
      </c>
      <c r="AD77" s="19" t="s">
        <v>5039</v>
      </c>
      <c r="AE77" s="23">
        <v>5786131</v>
      </c>
      <c r="AF77" s="23" t="s">
        <v>5040</v>
      </c>
      <c r="AG77" s="23">
        <v>117545617</v>
      </c>
      <c r="AH77" s="59">
        <v>35114100</v>
      </c>
      <c r="AI77" s="23" t="s">
        <v>5041</v>
      </c>
      <c r="AJ77" s="23">
        <v>5487</v>
      </c>
      <c r="AK77" s="23">
        <v>0</v>
      </c>
      <c r="AL77" s="23">
        <v>0</v>
      </c>
      <c r="AM77" s="23">
        <v>0</v>
      </c>
      <c r="AO77" s="57" t="s">
        <v>5042</v>
      </c>
      <c r="AP77" s="23">
        <v>8500.8000000000011</v>
      </c>
      <c r="AQ77" s="41">
        <v>1.61</v>
      </c>
      <c r="AR77" s="42">
        <v>1747200</v>
      </c>
      <c r="AS77" s="23" t="s">
        <v>5013</v>
      </c>
      <c r="AT77" s="19">
        <v>0</v>
      </c>
      <c r="AU77" s="19">
        <v>0</v>
      </c>
      <c r="AV77" s="19">
        <v>5491.2</v>
      </c>
      <c r="AW77" s="23">
        <f>SUM(AT77:AV77)</f>
        <v>5491.2</v>
      </c>
      <c r="AX77" s="41">
        <f>AW77/5280</f>
        <v>1.04</v>
      </c>
      <c r="AY77" s="44">
        <v>1996800</v>
      </c>
      <c r="AZ77" s="58" t="s">
        <v>5043</v>
      </c>
      <c r="BA77" s="58" t="s">
        <v>5044</v>
      </c>
      <c r="BB77" s="23">
        <v>0</v>
      </c>
      <c r="BC77" s="23">
        <v>0</v>
      </c>
      <c r="BD77" s="23">
        <v>5487</v>
      </c>
      <c r="BE77" s="23">
        <v>5487</v>
      </c>
      <c r="BF77" s="41">
        <v>1.0392045454545455</v>
      </c>
      <c r="BG77" s="45">
        <v>2119397</v>
      </c>
      <c r="BH77" s="42">
        <v>2502285</v>
      </c>
      <c r="BI77" s="46">
        <v>386.25788226717697</v>
      </c>
    </row>
    <row r="78" spans="1:61" s="19" customFormat="1" x14ac:dyDescent="0.25">
      <c r="A78" s="55">
        <v>35116442</v>
      </c>
      <c r="B78" s="106" t="s">
        <v>5463</v>
      </c>
      <c r="C78" s="23">
        <v>20</v>
      </c>
      <c r="D78" s="23" t="s">
        <v>5053</v>
      </c>
      <c r="E78" s="110">
        <v>2021023</v>
      </c>
      <c r="F78" s="23">
        <v>2.35</v>
      </c>
      <c r="G78" s="37">
        <f>F78-K78</f>
        <v>0.56000000000000005</v>
      </c>
      <c r="H78" s="20">
        <v>2020</v>
      </c>
      <c r="I78" s="37">
        <v>1.79</v>
      </c>
      <c r="J78" s="37"/>
      <c r="K78" s="37">
        <f>SUM(I78:J78)</f>
        <v>1.79</v>
      </c>
      <c r="L78" s="21">
        <v>1643733.98</v>
      </c>
      <c r="M78" s="23" t="s">
        <v>4966</v>
      </c>
      <c r="N78" s="22">
        <v>163661702</v>
      </c>
      <c r="O78" s="19" t="s">
        <v>2484</v>
      </c>
      <c r="P78" s="23" t="s">
        <v>2487</v>
      </c>
      <c r="Q78" s="38">
        <f>IFERROR(VLOOKUP(P78,[47]conductor_pz_summary_hftd_23_re!$B$2:$Q$3636,8,FALSE),0)</f>
        <v>132</v>
      </c>
      <c r="R78" s="38">
        <f>IFERROR(VLOOKUP(P78,[48]conductor_pz_summary_hftd_23_re!$B$2:$H$3636,7,0),0)/1609</f>
        <v>10.941613656884462</v>
      </c>
      <c r="S78" s="23">
        <f>IFERROR(VLOOKUP(P78,[47]conductor_pz_summary_hftd_23_re!$B$2:$Q$3636,14,FALSE),0)</f>
        <v>2678</v>
      </c>
      <c r="T78" s="23">
        <f>IFERROR(U78*Q78,0)</f>
        <v>9.8599022534639355E-2</v>
      </c>
      <c r="U78" s="23">
        <f>IFERROR(VLOOKUP(P78,[47]conductor_pz_summary_hftd_23_re!$B$2:$Q$3636,13,FALSE),0)</f>
        <v>7.4696229192908604E-4</v>
      </c>
      <c r="V78" s="79">
        <f>IFERROR(VLOOKUP(P78,conductor_pz_summary_hftd_23_re!$B$2:$N$3636,13,FALSE),0)</f>
        <v>2665</v>
      </c>
      <c r="W78" s="65">
        <f>(AJ78*0.67+AK78*0.99+AL78+AM78*0.99)/(SUM(AJ78:AM78))*T78*(F78/R78)</f>
        <v>1.4188415516125454E-2</v>
      </c>
      <c r="X78" s="23">
        <v>32</v>
      </c>
      <c r="Y78" s="23" t="s">
        <v>4873</v>
      </c>
      <c r="Z78" s="23" t="s">
        <v>4888</v>
      </c>
      <c r="AA78" s="19" t="s">
        <v>4967</v>
      </c>
      <c r="AB78" s="19" t="s">
        <v>4968</v>
      </c>
      <c r="AC78" s="19" t="s">
        <v>4969</v>
      </c>
      <c r="AD78" s="19" t="s">
        <v>4963</v>
      </c>
      <c r="AE78" s="23">
        <v>5785982</v>
      </c>
      <c r="AF78" s="23" t="s">
        <v>5091</v>
      </c>
      <c r="AG78" s="23">
        <v>117605169</v>
      </c>
      <c r="AH78" s="55">
        <v>35116442</v>
      </c>
      <c r="AI78" s="23" t="s">
        <v>5092</v>
      </c>
      <c r="AJ78" s="23">
        <v>12386</v>
      </c>
      <c r="AK78" s="23">
        <v>0</v>
      </c>
      <c r="AL78" s="23">
        <v>0</v>
      </c>
      <c r="AM78" s="23">
        <v>0</v>
      </c>
      <c r="AO78" s="60" t="s">
        <v>5093</v>
      </c>
      <c r="AP78" s="23">
        <v>9768</v>
      </c>
      <c r="AQ78" s="41">
        <v>1.85</v>
      </c>
      <c r="AR78" s="42">
        <v>1963016</v>
      </c>
      <c r="AS78" s="60" t="s">
        <v>5094</v>
      </c>
      <c r="AT78" s="19">
        <v>0</v>
      </c>
      <c r="AU78" s="19">
        <v>0</v>
      </c>
      <c r="AV78" s="19">
        <v>11065</v>
      </c>
      <c r="AW78" s="23">
        <f>SUM(AT78:AV78)</f>
        <v>11065</v>
      </c>
      <c r="AX78" s="41">
        <f>AW78/5280</f>
        <v>2.0956439393939394</v>
      </c>
      <c r="AY78" s="44">
        <v>4023636.3636363638</v>
      </c>
      <c r="AZ78" s="58" t="s">
        <v>5095</v>
      </c>
      <c r="BA78" s="58" t="s">
        <v>5096</v>
      </c>
      <c r="BB78" s="23">
        <v>0</v>
      </c>
      <c r="BC78" s="23">
        <v>0</v>
      </c>
      <c r="BD78" s="23">
        <v>12386</v>
      </c>
      <c r="BE78" s="23">
        <v>12386</v>
      </c>
      <c r="BF78" s="41">
        <v>2.3458333333333332</v>
      </c>
      <c r="BG78" s="45">
        <v>2994831</v>
      </c>
      <c r="BH78" s="42">
        <v>3849738</v>
      </c>
      <c r="BI78" s="46">
        <v>241.79161957048279</v>
      </c>
    </row>
    <row r="79" spans="1:61" s="19" customFormat="1" x14ac:dyDescent="0.25">
      <c r="A79" s="55">
        <v>35116444</v>
      </c>
      <c r="B79" s="106" t="s">
        <v>5463</v>
      </c>
      <c r="C79" s="23">
        <v>20</v>
      </c>
      <c r="D79" s="23" t="s">
        <v>4871</v>
      </c>
      <c r="E79" s="110">
        <v>2021024</v>
      </c>
      <c r="F79" s="23">
        <v>2.1</v>
      </c>
      <c r="G79" s="37">
        <f>F79-K79</f>
        <v>2.1</v>
      </c>
      <c r="H79" s="20">
        <v>2020</v>
      </c>
      <c r="I79" s="37">
        <v>0</v>
      </c>
      <c r="J79" s="37"/>
      <c r="K79" s="37">
        <f>SUM(I79:J79)</f>
        <v>0</v>
      </c>
      <c r="L79" s="21">
        <v>750572.79</v>
      </c>
      <c r="M79" s="23" t="s">
        <v>4966</v>
      </c>
      <c r="N79" s="22">
        <v>163661702</v>
      </c>
      <c r="O79" s="19" t="s">
        <v>2484</v>
      </c>
      <c r="P79" s="23" t="s">
        <v>2487</v>
      </c>
      <c r="Q79" s="38">
        <f>IFERROR(VLOOKUP(P79,[47]conductor_pz_summary_hftd_23_re!$B$2:$Q$3636,8,FALSE),0)</f>
        <v>132</v>
      </c>
      <c r="R79" s="38">
        <f>IFERROR(VLOOKUP(P79,[48]conductor_pz_summary_hftd_23_re!$B$2:$H$3636,7,0),0)/1609</f>
        <v>10.941613656884462</v>
      </c>
      <c r="S79" s="23">
        <f>IFERROR(VLOOKUP(P79,[47]conductor_pz_summary_hftd_23_re!$B$2:$Q$3636,14,FALSE),0)</f>
        <v>2678</v>
      </c>
      <c r="T79" s="23">
        <f>IFERROR(U79*Q79,0)</f>
        <v>9.8599022534639355E-2</v>
      </c>
      <c r="U79" s="23">
        <f>IFERROR(VLOOKUP(P79,[47]conductor_pz_summary_hftd_23_re!$B$2:$Q$3636,13,FALSE),0)</f>
        <v>7.4696229192908604E-4</v>
      </c>
      <c r="V79" s="79">
        <f>IFERROR(VLOOKUP(P79,conductor_pz_summary_hftd_23_re!$B$2:$N$3636,13,FALSE),0)</f>
        <v>2665</v>
      </c>
      <c r="W79" s="65">
        <f>(AJ79*0.67+AK79*0.99+AL79+AM79*0.99)/(SUM(AJ79:AM79))*T79*(F79/R79)</f>
        <v>1.2679009610154663E-2</v>
      </c>
      <c r="X79" s="23">
        <v>32</v>
      </c>
      <c r="Y79" s="23" t="s">
        <v>4873</v>
      </c>
      <c r="Z79" s="23" t="s">
        <v>4888</v>
      </c>
      <c r="AA79" s="19" t="s">
        <v>4967</v>
      </c>
      <c r="AB79" s="19" t="s">
        <v>4968</v>
      </c>
      <c r="AC79" s="19" t="s">
        <v>4969</v>
      </c>
      <c r="AD79" s="19" t="s">
        <v>4963</v>
      </c>
      <c r="AE79" s="23">
        <v>5785984</v>
      </c>
      <c r="AF79" s="23" t="s">
        <v>5097</v>
      </c>
      <c r="AG79" s="23">
        <v>117605182</v>
      </c>
      <c r="AH79" s="55">
        <v>35116444</v>
      </c>
      <c r="AI79" s="23" t="s">
        <v>5098</v>
      </c>
      <c r="AJ79" s="23">
        <v>11100</v>
      </c>
      <c r="AK79" s="23">
        <v>0</v>
      </c>
      <c r="AL79" s="23">
        <v>0</v>
      </c>
      <c r="AM79" s="23">
        <v>0</v>
      </c>
      <c r="AO79" s="60" t="s">
        <v>5093</v>
      </c>
      <c r="AP79" s="23">
        <v>9768</v>
      </c>
      <c r="AQ79" s="41">
        <v>1.85</v>
      </c>
      <c r="AR79" s="42">
        <v>1963016</v>
      </c>
      <c r="AS79" s="60" t="s">
        <v>5094</v>
      </c>
      <c r="AT79" s="19">
        <v>0</v>
      </c>
      <c r="AU79" s="19">
        <v>0</v>
      </c>
      <c r="AV79" s="19">
        <v>9600</v>
      </c>
      <c r="AW79" s="23">
        <f>SUM(AT79:AV79)</f>
        <v>9600</v>
      </c>
      <c r="AX79" s="41">
        <f>AW79/5280</f>
        <v>1.8181818181818181</v>
      </c>
      <c r="AY79" s="44">
        <v>3490909.0909090908</v>
      </c>
      <c r="AZ79" s="58" t="s">
        <v>5099</v>
      </c>
      <c r="BA79" s="58" t="s">
        <v>5100</v>
      </c>
      <c r="BB79" s="23">
        <v>0</v>
      </c>
      <c r="BC79" s="23">
        <v>0</v>
      </c>
      <c r="BD79" s="23">
        <v>11100</v>
      </c>
      <c r="BE79" s="23">
        <v>11100</v>
      </c>
      <c r="BF79" s="41">
        <v>2.1022727272727271</v>
      </c>
      <c r="BG79" s="45">
        <v>2648178</v>
      </c>
      <c r="BH79" s="42">
        <v>3531134</v>
      </c>
      <c r="BI79" s="46">
        <v>238.5745945945946</v>
      </c>
    </row>
    <row r="80" spans="1:61" s="19" customFormat="1" x14ac:dyDescent="0.25">
      <c r="A80" s="35">
        <v>35052825</v>
      </c>
      <c r="B80" s="106" t="s">
        <v>5463</v>
      </c>
      <c r="C80" s="23">
        <v>20</v>
      </c>
      <c r="D80" s="23" t="s">
        <v>4871</v>
      </c>
      <c r="E80" s="110">
        <v>2021025</v>
      </c>
      <c r="F80" s="23">
        <v>1.17</v>
      </c>
      <c r="G80" s="37">
        <f>F80-K80</f>
        <v>1.17</v>
      </c>
      <c r="H80" s="20">
        <v>2020</v>
      </c>
      <c r="I80" s="37">
        <v>0</v>
      </c>
      <c r="J80" s="37"/>
      <c r="K80" s="37">
        <f>SUM(I80:J80)</f>
        <v>0</v>
      </c>
      <c r="L80" s="21">
        <v>450269.57</v>
      </c>
      <c r="M80" s="23" t="s">
        <v>4966</v>
      </c>
      <c r="N80" s="22">
        <v>163661702</v>
      </c>
      <c r="O80" s="19" t="s">
        <v>2484</v>
      </c>
      <c r="P80" s="23" t="s">
        <v>2497</v>
      </c>
      <c r="Q80" s="38">
        <f>IFERROR(VLOOKUP(P80,[47]conductor_pz_summary_hftd_23_re!$B$2:$Q$3636,8,FALSE),0)</f>
        <v>21</v>
      </c>
      <c r="R80" s="38">
        <f>IFERROR(VLOOKUP(P80,[48]conductor_pz_summary_hftd_23_re!$B$2:$H$3636,7,0),0)/1609</f>
        <v>1.4878815160173089</v>
      </c>
      <c r="S80" s="23">
        <f>IFERROR(VLOOKUP(P80,[47]conductor_pz_summary_hftd_23_re!$B$2:$Q$3636,14,FALSE),0)</f>
        <v>2737</v>
      </c>
      <c r="T80" s="23">
        <f>IFERROR(U80*Q80,0)</f>
        <v>1.0337860551407129E-2</v>
      </c>
      <c r="U80" s="23">
        <f>IFERROR(VLOOKUP(P80,[47]conductor_pz_summary_hftd_23_re!$B$2:$Q$3636,13,FALSE),0)</f>
        <v>4.9227907387652998E-4</v>
      </c>
      <c r="V80" s="79">
        <f>IFERROR(VLOOKUP(P80,conductor_pz_summary_hftd_23_re!$B$2:$N$3636,13,FALSE),0)</f>
        <v>2641</v>
      </c>
      <c r="W80" s="65">
        <f>(AJ80*0.67+AK80*0.99+AL80+AM80*0.99)/(SUM(AJ80:AM80))*T80*(F80/R80)</f>
        <v>5.4465686944885567E-3</v>
      </c>
      <c r="X80" s="23">
        <v>26</v>
      </c>
      <c r="Y80" s="23" t="s">
        <v>4873</v>
      </c>
      <c r="Z80" s="23" t="s">
        <v>4888</v>
      </c>
      <c r="AA80" s="19" t="s">
        <v>4967</v>
      </c>
      <c r="AB80" s="19" t="s">
        <v>4968</v>
      </c>
      <c r="AC80" s="19" t="s">
        <v>4969</v>
      </c>
      <c r="AD80" s="19" t="s">
        <v>4963</v>
      </c>
      <c r="AE80" s="23">
        <v>5785221</v>
      </c>
      <c r="AF80" s="23" t="s">
        <v>4976</v>
      </c>
      <c r="AG80" s="23">
        <v>114701195</v>
      </c>
      <c r="AH80" s="35">
        <v>35052825</v>
      </c>
      <c r="AI80" s="23" t="s">
        <v>4977</v>
      </c>
      <c r="AJ80" s="23">
        <v>6168</v>
      </c>
      <c r="AK80" s="23">
        <v>0</v>
      </c>
      <c r="AL80" s="23">
        <v>0</v>
      </c>
      <c r="AM80" s="23">
        <v>0</v>
      </c>
      <c r="AO80" s="58" t="s">
        <v>4978</v>
      </c>
      <c r="AP80" s="23">
        <v>10296</v>
      </c>
      <c r="AQ80" s="41">
        <v>1.95</v>
      </c>
      <c r="AR80" s="42">
        <v>2134266</v>
      </c>
      <c r="AS80" s="58" t="s">
        <v>4979</v>
      </c>
      <c r="AT80" s="19">
        <v>0</v>
      </c>
      <c r="AU80" s="19">
        <v>0</v>
      </c>
      <c r="AV80" s="19">
        <v>5785</v>
      </c>
      <c r="AW80" s="23">
        <f>SUM(AT80:AV80)</f>
        <v>5785</v>
      </c>
      <c r="AX80" s="41">
        <f>AW80/5280</f>
        <v>1.0956439393939394</v>
      </c>
      <c r="AY80" s="44">
        <v>2103636.3636363638</v>
      </c>
      <c r="AZ80" s="58" t="s">
        <v>4980</v>
      </c>
      <c r="BA80" s="58" t="s">
        <v>4981</v>
      </c>
      <c r="BB80" s="23">
        <v>0</v>
      </c>
      <c r="BC80" s="23">
        <v>0</v>
      </c>
      <c r="BD80" s="23">
        <v>6168</v>
      </c>
      <c r="BE80" s="23">
        <v>6168</v>
      </c>
      <c r="BF80" s="41">
        <v>1.1681818181818182</v>
      </c>
      <c r="BG80" s="45">
        <v>2342292</v>
      </c>
      <c r="BH80" s="42">
        <v>3544410</v>
      </c>
      <c r="BI80" s="46">
        <v>379.74902723735408</v>
      </c>
    </row>
    <row r="81" spans="1:63" s="19" customFormat="1" x14ac:dyDescent="0.25">
      <c r="A81" s="59">
        <v>35052731</v>
      </c>
      <c r="B81" s="106" t="s">
        <v>5557</v>
      </c>
      <c r="C81" s="79">
        <v>19</v>
      </c>
      <c r="D81" s="79" t="s">
        <v>4871</v>
      </c>
      <c r="E81" s="110">
        <v>2021026</v>
      </c>
      <c r="F81" s="23">
        <v>1.47</v>
      </c>
      <c r="G81" s="104">
        <f>F81-K81</f>
        <v>1.47</v>
      </c>
      <c r="H81" s="79">
        <v>2020</v>
      </c>
      <c r="I81" s="37">
        <v>0</v>
      </c>
      <c r="J81" s="37"/>
      <c r="K81" s="37">
        <f>SUM(I81:J81)</f>
        <v>0</v>
      </c>
      <c r="L81" s="21">
        <v>135172.96</v>
      </c>
      <c r="M81" s="23" t="s">
        <v>5370</v>
      </c>
      <c r="N81" s="22">
        <v>82841101</v>
      </c>
      <c r="O81" s="19" t="s">
        <v>323</v>
      </c>
      <c r="P81" s="23" t="s">
        <v>322</v>
      </c>
      <c r="Q81" s="38">
        <f>IFERROR(VLOOKUP(P81,[47]conductor_pz_summary_hftd_23_re!$B$2:$Q$3636,8,FALSE),0)</f>
        <v>181</v>
      </c>
      <c r="R81" s="38">
        <f>IFERROR(VLOOKUP(P81,[48]conductor_pz_summary_hftd_23_re!$B$2:$H$3636,7,0),0)/1609</f>
        <v>14.421118969241455</v>
      </c>
      <c r="S81" s="23">
        <f>IFERROR(VLOOKUP(P81,[47]conductor_pz_summary_hftd_23_re!$B$2:$Q$3636,14,FALSE),0)</f>
        <v>2456</v>
      </c>
      <c r="T81" s="23">
        <f>IFERROR(U81*Q81,0)</f>
        <v>0.39280235276925696</v>
      </c>
      <c r="U81" s="23">
        <f>IFERROR(VLOOKUP(P81,[47]conductor_pz_summary_hftd_23_re!$B$2:$Q$3636,13,FALSE),0)</f>
        <v>2.1701787445815302E-3</v>
      </c>
      <c r="V81" s="79">
        <f>IFERROR(VLOOKUP(P81,conductor_pz_summary_hftd_23_re!$B$2:$N$3636,13,FALSE),0)</f>
        <v>2657</v>
      </c>
      <c r="W81" s="65">
        <f>(AJ81*0.67+AK81*0.99+AL81+AM81*0.99)/(SUM(AJ81:AM81))*T81*(F81/R81)</f>
        <v>2.6826700346040514E-2</v>
      </c>
      <c r="X81" s="23">
        <v>354</v>
      </c>
      <c r="Y81" s="23" t="s">
        <v>4873</v>
      </c>
      <c r="Z81" s="23" t="s">
        <v>5330</v>
      </c>
      <c r="AA81" s="19" t="s">
        <v>5537</v>
      </c>
      <c r="AB81" s="19" t="s">
        <v>5038</v>
      </c>
      <c r="AC81" s="19" t="s">
        <v>5039</v>
      </c>
      <c r="AD81" s="19" t="s">
        <v>5039</v>
      </c>
      <c r="AE81" s="23">
        <v>5782530</v>
      </c>
      <c r="AF81" s="23" t="s">
        <v>5539</v>
      </c>
      <c r="AG81" s="23">
        <v>114607365</v>
      </c>
      <c r="AH81" s="59">
        <v>35052731</v>
      </c>
      <c r="AI81" s="23" t="s">
        <v>5540</v>
      </c>
      <c r="AJ81" s="23">
        <v>7779</v>
      </c>
      <c r="AK81" s="23">
        <v>0</v>
      </c>
      <c r="AL81" s="23">
        <v>0</v>
      </c>
      <c r="AM81" s="23">
        <v>0</v>
      </c>
      <c r="AO81" s="60" t="s">
        <v>5541</v>
      </c>
      <c r="AP81" s="23">
        <v>12830.400000000001</v>
      </c>
      <c r="AQ81" s="41">
        <v>2.4300000000000002</v>
      </c>
      <c r="AR81" s="42">
        <v>3837000</v>
      </c>
      <c r="AS81" s="23" t="s">
        <v>5013</v>
      </c>
      <c r="AW81" s="23">
        <f>SUM(AT81:AV81)</f>
        <v>0</v>
      </c>
      <c r="AX81" s="41">
        <v>0</v>
      </c>
      <c r="AZ81" s="40" t="s">
        <v>5542</v>
      </c>
      <c r="BA81" s="40" t="s">
        <v>5543</v>
      </c>
      <c r="BB81" s="23">
        <v>0</v>
      </c>
      <c r="BC81" s="23">
        <v>0</v>
      </c>
      <c r="BD81" s="23">
        <v>7779</v>
      </c>
      <c r="BE81" s="23">
        <v>7779</v>
      </c>
      <c r="BF81" s="41">
        <v>1.4732954545454546</v>
      </c>
      <c r="BG81" s="45">
        <v>3391041</v>
      </c>
      <c r="BH81" s="42">
        <v>4994628</v>
      </c>
      <c r="BI81" s="46">
        <v>435.92248360971848</v>
      </c>
    </row>
    <row r="82" spans="1:63" s="19" customFormat="1" x14ac:dyDescent="0.25">
      <c r="A82" s="55">
        <v>35145540</v>
      </c>
      <c r="B82" s="106" t="s">
        <v>5560</v>
      </c>
      <c r="C82" s="23">
        <v>18</v>
      </c>
      <c r="D82" s="23" t="s">
        <v>4871</v>
      </c>
      <c r="E82" s="110">
        <v>2021027</v>
      </c>
      <c r="F82" s="37">
        <v>1.274</v>
      </c>
      <c r="G82" s="37">
        <f>F82-K82</f>
        <v>1.274</v>
      </c>
      <c r="H82" s="20">
        <v>2020</v>
      </c>
      <c r="I82" s="37">
        <v>0</v>
      </c>
      <c r="J82" s="37"/>
      <c r="K82" s="37">
        <f>SUM(I82:J82)</f>
        <v>0</v>
      </c>
      <c r="L82" s="21">
        <v>175026.03</v>
      </c>
      <c r="M82" s="23" t="s">
        <v>5135</v>
      </c>
      <c r="N82" s="22">
        <v>163451702</v>
      </c>
      <c r="O82" s="19" t="s">
        <v>1519</v>
      </c>
      <c r="P82" s="23" t="s">
        <v>1543</v>
      </c>
      <c r="Q82" s="38">
        <f>IFERROR(VLOOKUP(P82,[47]conductor_pz_summary_hftd_23_re!$B$2:$Q$3636,8,FALSE),0)</f>
        <v>47</v>
      </c>
      <c r="R82" s="38">
        <f>IFERROR(VLOOKUP(P82,[48]conductor_pz_summary_hftd_23_re!$B$2:$H$3636,7,0),0)/1609</f>
        <v>1.4613805826632567</v>
      </c>
      <c r="S82" s="23">
        <f>IFERROR(VLOOKUP(P82,[47]conductor_pz_summary_hftd_23_re!$B$2:$Q$3636,14,FALSE),0)</f>
        <v>1316</v>
      </c>
      <c r="T82" s="23">
        <f>IFERROR(U82*Q82,0)</f>
        <v>1.8439943808705479</v>
      </c>
      <c r="U82" s="23">
        <f>IFERROR(VLOOKUP(P82,[47]conductor_pz_summary_hftd_23_re!$B$2:$Q$3636,13,FALSE),0)</f>
        <v>3.92339229972457E-2</v>
      </c>
      <c r="V82" s="79">
        <f>IFERROR(VLOOKUP(P82,conductor_pz_summary_hftd_23_re!$B$2:$N$3636,13,FALSE),0)</f>
        <v>1692</v>
      </c>
      <c r="W82" s="65">
        <f>(AJ82*0.67+AK82*0.99+AL82+AM82*0.99)/(SUM(AJ82:AM82))*T82*(F82/R82)</f>
        <v>1.6021242213769131</v>
      </c>
      <c r="X82" s="23">
        <v>3052</v>
      </c>
      <c r="Y82" s="23" t="s">
        <v>4873</v>
      </c>
      <c r="Z82" s="23" t="s">
        <v>5134</v>
      </c>
      <c r="AA82" s="19" t="s">
        <v>5141</v>
      </c>
      <c r="AB82" s="19" t="s">
        <v>4961</v>
      </c>
      <c r="AC82" s="19" t="s">
        <v>4962</v>
      </c>
      <c r="AD82" s="19" t="s">
        <v>4963</v>
      </c>
      <c r="AE82" s="23">
        <v>5788779</v>
      </c>
      <c r="AF82" s="23" t="s">
        <v>5142</v>
      </c>
      <c r="AG82" s="23">
        <v>118259180</v>
      </c>
      <c r="AH82" s="55">
        <v>35145540</v>
      </c>
      <c r="AI82" s="23" t="s">
        <v>5143</v>
      </c>
      <c r="AJ82" s="23">
        <v>0</v>
      </c>
      <c r="AK82" s="23">
        <v>2272</v>
      </c>
      <c r="AL82" s="23">
        <f>6726-2272</f>
        <v>4454</v>
      </c>
      <c r="AM82" s="23">
        <v>0</v>
      </c>
      <c r="AO82" s="63" t="s">
        <v>5144</v>
      </c>
      <c r="AP82" s="23">
        <v>2640</v>
      </c>
      <c r="AQ82" s="41">
        <v>0.5</v>
      </c>
      <c r="AR82" s="42">
        <v>3900000</v>
      </c>
      <c r="AS82" s="23" t="s">
        <v>5013</v>
      </c>
      <c r="AT82" s="19">
        <v>4454</v>
      </c>
      <c r="AU82" s="19">
        <v>2272</v>
      </c>
      <c r="AV82" s="19">
        <v>0</v>
      </c>
      <c r="AW82" s="23">
        <f>SUM(AT82:AV82)</f>
        <v>6726</v>
      </c>
      <c r="AX82" s="41">
        <f>AW82/5280</f>
        <v>1.2738636363636364</v>
      </c>
      <c r="AY82" s="44">
        <v>2100000</v>
      </c>
      <c r="AZ82" s="58" t="s">
        <v>5145</v>
      </c>
      <c r="BA82" s="23"/>
      <c r="BB82" s="23"/>
      <c r="BC82" s="23"/>
      <c r="BD82" s="23"/>
      <c r="BE82" s="23"/>
      <c r="BF82" s="41"/>
      <c r="BG82" s="45"/>
      <c r="BH82" s="42"/>
      <c r="BI82" s="46"/>
    </row>
    <row r="83" spans="1:63" s="19" customFormat="1" x14ac:dyDescent="0.25">
      <c r="A83" s="35">
        <v>35052737</v>
      </c>
      <c r="B83" s="106" t="s">
        <v>5557</v>
      </c>
      <c r="C83" s="79">
        <v>18</v>
      </c>
      <c r="D83" s="79" t="s">
        <v>4871</v>
      </c>
      <c r="E83" s="110">
        <v>2021028</v>
      </c>
      <c r="F83" s="37">
        <v>1.587</v>
      </c>
      <c r="G83" s="104">
        <f>F83-K83</f>
        <v>1.587</v>
      </c>
      <c r="H83" s="79">
        <v>2020</v>
      </c>
      <c r="I83" s="37">
        <v>0</v>
      </c>
      <c r="J83" s="37"/>
      <c r="K83" s="37">
        <f>SUM(I83:J83)</f>
        <v>0</v>
      </c>
      <c r="L83" s="21">
        <v>79871.92</v>
      </c>
      <c r="M83" s="23" t="s">
        <v>5135</v>
      </c>
      <c r="N83" s="22">
        <v>163661701</v>
      </c>
      <c r="O83" s="19" t="s">
        <v>2475</v>
      </c>
      <c r="P83" s="23" t="s">
        <v>2481</v>
      </c>
      <c r="Q83" s="38">
        <f>IFERROR(VLOOKUP(P83,[47]conductor_pz_summary_hftd_23_re!$B$2:$Q$3636,8,FALSE),0)</f>
        <v>132</v>
      </c>
      <c r="R83" s="38">
        <f>IFERROR(VLOOKUP(P83,[48]conductor_pz_summary_hftd_23_re!$B$2:$H$3636,7,0),0)/1609</f>
        <v>11.858056951620696</v>
      </c>
      <c r="S83" s="23">
        <f>IFERROR(VLOOKUP(P83,[47]conductor_pz_summary_hftd_23_re!$B$2:$Q$3636,14,FALSE),0)</f>
        <v>2267</v>
      </c>
      <c r="T83" s="23">
        <f>IFERROR(U83*Q83,0)</f>
        <v>0.50381102520239307</v>
      </c>
      <c r="U83" s="23">
        <f>IFERROR(VLOOKUP(P83,[47]conductor_pz_summary_hftd_23_re!$B$2:$Q$3636,13,FALSE),0)</f>
        <v>3.81675019092722E-3</v>
      </c>
      <c r="V83" s="79">
        <f>IFERROR(VLOOKUP(P83,conductor_pz_summary_hftd_23_re!$B$2:$N$3636,13,FALSE),0)</f>
        <v>2336</v>
      </c>
      <c r="W83" s="65">
        <f>(AJ83*0.67+AK83*0.99+AL83+AM83*0.99)/(SUM(AJ83:AM83))*T83*(F83/R83)</f>
        <v>4.5175801328415477E-2</v>
      </c>
      <c r="X83" s="23">
        <v>12</v>
      </c>
      <c r="Y83" s="23" t="s">
        <v>4873</v>
      </c>
      <c r="Z83" s="23" t="s">
        <v>5330</v>
      </c>
      <c r="AA83" s="19" t="s">
        <v>5544</v>
      </c>
      <c r="AB83" s="19" t="s">
        <v>4968</v>
      </c>
      <c r="AC83" s="19" t="s">
        <v>4969</v>
      </c>
      <c r="AD83" s="19" t="s">
        <v>4963</v>
      </c>
      <c r="AE83" s="23">
        <v>5785238</v>
      </c>
      <c r="AF83" s="23" t="s">
        <v>5545</v>
      </c>
      <c r="AG83" s="23">
        <v>114675474</v>
      </c>
      <c r="AH83" s="35">
        <v>35052737</v>
      </c>
      <c r="AI83" s="23" t="s">
        <v>5546</v>
      </c>
      <c r="AJ83" s="23">
        <v>8378</v>
      </c>
      <c r="AK83" s="23">
        <v>0</v>
      </c>
      <c r="AL83" s="23">
        <v>0</v>
      </c>
      <c r="AM83" s="23">
        <v>0</v>
      </c>
      <c r="AO83" s="60" t="s">
        <v>5069</v>
      </c>
      <c r="AP83" s="23">
        <v>10401.6</v>
      </c>
      <c r="AQ83" s="41">
        <v>1.97</v>
      </c>
      <c r="AR83" s="42">
        <v>2126216</v>
      </c>
      <c r="AS83" s="60" t="s">
        <v>5070</v>
      </c>
      <c r="AT83" s="19">
        <v>0</v>
      </c>
      <c r="AU83" s="19">
        <v>0</v>
      </c>
      <c r="AV83" s="19">
        <v>8605</v>
      </c>
      <c r="AW83" s="23">
        <f>SUM(AT83:AV83)</f>
        <v>8605</v>
      </c>
      <c r="AX83" s="41">
        <v>1.6297348484848484</v>
      </c>
      <c r="AY83" s="44">
        <v>3129090.9090909087</v>
      </c>
      <c r="AZ83" s="60" t="s">
        <v>5547</v>
      </c>
      <c r="BA83" s="58" t="s">
        <v>5548</v>
      </c>
      <c r="BB83" s="23">
        <v>0</v>
      </c>
      <c r="BC83" s="23">
        <v>0</v>
      </c>
      <c r="BD83" s="23">
        <v>8378</v>
      </c>
      <c r="BE83" s="23">
        <v>8378</v>
      </c>
      <c r="BF83" s="41">
        <v>1.5867424242424242</v>
      </c>
      <c r="BG83" s="45">
        <v>2060222</v>
      </c>
      <c r="BH83" s="42">
        <v>2768676</v>
      </c>
      <c r="BI83" s="46">
        <v>245.90857006445452</v>
      </c>
    </row>
    <row r="84" spans="1:63" s="19" customFormat="1" x14ac:dyDescent="0.25">
      <c r="A84" s="35">
        <v>35094513</v>
      </c>
      <c r="B84" s="106" t="s">
        <v>5557</v>
      </c>
      <c r="C84" s="79">
        <v>18</v>
      </c>
      <c r="D84" s="79" t="s">
        <v>4871</v>
      </c>
      <c r="E84" s="110">
        <v>2021029</v>
      </c>
      <c r="F84" s="37">
        <v>1.92</v>
      </c>
      <c r="G84" s="104">
        <f>F84-K84</f>
        <v>1.92</v>
      </c>
      <c r="H84" s="79">
        <v>2020</v>
      </c>
      <c r="I84" s="37">
        <v>0</v>
      </c>
      <c r="J84" s="37"/>
      <c r="K84" s="37">
        <f>SUM(I84:J84)</f>
        <v>0</v>
      </c>
      <c r="L84" s="21">
        <v>162001.21</v>
      </c>
      <c r="M84" s="23" t="s">
        <v>5135</v>
      </c>
      <c r="N84" s="22">
        <v>162821702</v>
      </c>
      <c r="O84" s="19" t="s">
        <v>4213</v>
      </c>
      <c r="P84" s="23" t="s">
        <v>4212</v>
      </c>
      <c r="Q84" s="38">
        <f>IFERROR(VLOOKUP(P84,[47]conductor_pz_summary_hftd_23_re!$B$2:$Q$3636,8,FALSE),0)</f>
        <v>118</v>
      </c>
      <c r="R84" s="38">
        <f>IFERROR(VLOOKUP(P84,[48]conductor_pz_summary_hftd_23_re!$B$2:$H$3636,7,0),0)/1609</f>
        <v>8.3796776309891232</v>
      </c>
      <c r="S84" s="23">
        <f>IFERROR(VLOOKUP(P84,[47]conductor_pz_summary_hftd_23_re!$B$2:$Q$3636,14,FALSE),0)</f>
        <v>2712</v>
      </c>
      <c r="T84" s="23">
        <f>IFERROR(U84*Q84,0)</f>
        <v>6.9602264910888931E-2</v>
      </c>
      <c r="U84" s="23">
        <f>IFERROR(VLOOKUP(P84,[47]conductor_pz_summary_hftd_23_re!$B$2:$Q$3636,13,FALSE),0)</f>
        <v>5.89849702634652E-4</v>
      </c>
      <c r="V84" s="79">
        <f>IFERROR(VLOOKUP(P84,conductor_pz_summary_hftd_23_re!$B$2:$N$3636,13,FALSE),0)</f>
        <v>2706</v>
      </c>
      <c r="W84" s="65">
        <f>(AJ84*0.67+AK84*0.99+AL84+AM84*0.99)/(SUM(AJ84:AM84))*T84*(F84/R84)</f>
        <v>1.0684940104408146E-2</v>
      </c>
      <c r="X84" s="23">
        <v>19</v>
      </c>
      <c r="Y84" s="23" t="s">
        <v>4873</v>
      </c>
      <c r="Z84" s="23" t="s">
        <v>5330</v>
      </c>
      <c r="AA84" s="19" t="s">
        <v>5002</v>
      </c>
      <c r="AB84" s="19" t="s">
        <v>4961</v>
      </c>
      <c r="AC84" s="19" t="s">
        <v>4962</v>
      </c>
      <c r="AD84" s="19" t="s">
        <v>4963</v>
      </c>
      <c r="AE84" s="23">
        <v>5785245</v>
      </c>
      <c r="AF84" s="23" t="s">
        <v>5549</v>
      </c>
      <c r="AG84" s="23">
        <v>114567769</v>
      </c>
      <c r="AH84" s="35">
        <v>35094513</v>
      </c>
      <c r="AI84" s="23" t="s">
        <v>5550</v>
      </c>
      <c r="AJ84" s="23">
        <v>10091</v>
      </c>
      <c r="AK84" s="23">
        <v>0</v>
      </c>
      <c r="AL84" s="23">
        <v>0</v>
      </c>
      <c r="AM84" s="23">
        <v>0</v>
      </c>
      <c r="AO84" s="60" t="s">
        <v>5551</v>
      </c>
      <c r="AP84" s="23">
        <v>8131.2</v>
      </c>
      <c r="AQ84" s="41">
        <v>1.54</v>
      </c>
      <c r="AR84" s="42">
        <v>1660057.1429999999</v>
      </c>
      <c r="AS84" s="60" t="s">
        <v>5552</v>
      </c>
      <c r="AT84" s="19">
        <v>0</v>
      </c>
      <c r="AU84" s="19">
        <v>0</v>
      </c>
      <c r="AV84" s="19">
        <v>10091</v>
      </c>
      <c r="AW84" s="23">
        <f>SUM(AT84:AV84)</f>
        <v>10091</v>
      </c>
      <c r="AX84" s="41">
        <v>1.9111742424242424</v>
      </c>
      <c r="AY84" s="44">
        <v>3669454.5454545454</v>
      </c>
      <c r="AZ84" s="40" t="s">
        <v>5553</v>
      </c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3" s="19" customFormat="1" x14ac:dyDescent="0.25">
      <c r="A85" s="55">
        <v>35145525</v>
      </c>
      <c r="B85" s="106" t="s">
        <v>5560</v>
      </c>
      <c r="C85" s="23">
        <v>18</v>
      </c>
      <c r="D85" s="23" t="s">
        <v>4871</v>
      </c>
      <c r="E85" s="110">
        <v>2021030</v>
      </c>
      <c r="F85" s="37">
        <v>1.78</v>
      </c>
      <c r="G85" s="37">
        <f>F85-K85</f>
        <v>1.78</v>
      </c>
      <c r="H85" s="20">
        <v>2020</v>
      </c>
      <c r="I85" s="37">
        <v>0</v>
      </c>
      <c r="J85" s="37"/>
      <c r="K85" s="37">
        <f>SUM(I85:J85)</f>
        <v>0</v>
      </c>
      <c r="L85" s="21">
        <v>140676.48000000001</v>
      </c>
      <c r="M85" s="23" t="s">
        <v>5135</v>
      </c>
      <c r="N85" s="22">
        <v>43321104</v>
      </c>
      <c r="O85" s="19" t="s">
        <v>3582</v>
      </c>
      <c r="P85" s="23" t="s">
        <v>3583</v>
      </c>
      <c r="Q85" s="38">
        <f>IFERROR(VLOOKUP(P85,[47]conductor_pz_summary_hftd_23_re!$B$2:$Q$3636,8,FALSE),0)</f>
        <v>34</v>
      </c>
      <c r="R85" s="38">
        <f>IFERROR(VLOOKUP(P85,[48]conductor_pz_summary_hftd_23_re!$B$2:$H$3636,7,0),0)/1609</f>
        <v>0.56024436794739585</v>
      </c>
      <c r="S85" s="23">
        <f>IFERROR(VLOOKUP(P85,[47]conductor_pz_summary_hftd_23_re!$B$2:$Q$3636,14,FALSE),0)</f>
        <v>3302</v>
      </c>
      <c r="T85" s="23">
        <f>IFERROR(U85*Q85,0)</f>
        <v>1.4935466258917009E-4</v>
      </c>
      <c r="U85" s="23">
        <f>IFERROR(VLOOKUP(P85,[47]conductor_pz_summary_hftd_23_re!$B$2:$Q$3636,13,FALSE),0)</f>
        <v>4.3927841937991199E-6</v>
      </c>
      <c r="V85" s="79">
        <f>IFERROR(VLOOKUP(P85,conductor_pz_summary_hftd_23_re!$B$2:$N$3636,13,FALSE),0)</f>
        <v>2944</v>
      </c>
      <c r="W85" s="65">
        <f>(AJ85*0.67+AK85*0.99+AL85+AM85*0.99)/(SUM(AJ85:AM85))*T85*(F85/R85)</f>
        <v>4.6978211914724336E-4</v>
      </c>
      <c r="X85" s="23">
        <v>1522</v>
      </c>
      <c r="Y85" s="23" t="s">
        <v>4912</v>
      </c>
      <c r="Z85" s="23" t="s">
        <v>5134</v>
      </c>
      <c r="AA85" s="19" t="s">
        <v>5187</v>
      </c>
      <c r="AB85" s="19" t="s">
        <v>4945</v>
      </c>
      <c r="AC85" s="19" t="s">
        <v>4945</v>
      </c>
      <c r="AD85" s="19" t="s">
        <v>4877</v>
      </c>
      <c r="AE85" s="23">
        <v>5788787</v>
      </c>
      <c r="AF85" s="23" t="s">
        <v>5188</v>
      </c>
      <c r="AG85" s="23">
        <v>118266592</v>
      </c>
      <c r="AH85" s="55">
        <v>35145525</v>
      </c>
      <c r="AI85" s="23" t="s">
        <v>5189</v>
      </c>
      <c r="AJ85" s="23">
        <v>0</v>
      </c>
      <c r="AK85" s="23">
        <v>9398.4</v>
      </c>
      <c r="AL85" s="23">
        <v>0</v>
      </c>
      <c r="AM85" s="23">
        <v>0</v>
      </c>
      <c r="AO85" s="63" t="s">
        <v>5190</v>
      </c>
      <c r="AP85" s="23">
        <v>9398.4</v>
      </c>
      <c r="AQ85" s="41">
        <v>1.78</v>
      </c>
      <c r="AR85" s="42">
        <v>17891818</v>
      </c>
      <c r="AS85" s="23" t="s">
        <v>5013</v>
      </c>
      <c r="AT85" s="19">
        <v>0</v>
      </c>
      <c r="AU85" s="19">
        <v>9398.4</v>
      </c>
      <c r="AV85" s="19">
        <v>0</v>
      </c>
      <c r="AW85" s="23">
        <f>SUM(AT85:AV85)</f>
        <v>9398.4</v>
      </c>
      <c r="AX85" s="41">
        <f>AW85/5280</f>
        <v>1.78</v>
      </c>
      <c r="AY85" s="44">
        <v>7476000</v>
      </c>
      <c r="AZ85" s="58" t="s">
        <v>5191</v>
      </c>
      <c r="BA85" s="23"/>
      <c r="BB85" s="23"/>
      <c r="BC85" s="23"/>
      <c r="BD85" s="23"/>
      <c r="BE85" s="23"/>
      <c r="BF85" s="41"/>
      <c r="BG85" s="45"/>
      <c r="BH85" s="42"/>
      <c r="BI85" s="46"/>
      <c r="BK85" s="40" t="s">
        <v>5192</v>
      </c>
    </row>
    <row r="86" spans="1:63" s="19" customFormat="1" x14ac:dyDescent="0.25">
      <c r="A86" s="55">
        <v>35145524</v>
      </c>
      <c r="B86" s="106" t="s">
        <v>5560</v>
      </c>
      <c r="C86" s="23">
        <v>18</v>
      </c>
      <c r="D86" s="23" t="s">
        <v>4871</v>
      </c>
      <c r="E86" s="110">
        <v>2021031</v>
      </c>
      <c r="F86" s="37">
        <v>1.5</v>
      </c>
      <c r="G86" s="37">
        <f>F86-K86</f>
        <v>1.5</v>
      </c>
      <c r="H86" s="20">
        <v>2020</v>
      </c>
      <c r="I86" s="37">
        <v>0</v>
      </c>
      <c r="J86" s="37"/>
      <c r="K86" s="37">
        <f>SUM(I86:J86)</f>
        <v>0</v>
      </c>
      <c r="L86" s="21">
        <v>155682.88</v>
      </c>
      <c r="M86" s="23" t="s">
        <v>5135</v>
      </c>
      <c r="N86" s="22">
        <v>43321103</v>
      </c>
      <c r="O86" s="19" t="s">
        <v>3575</v>
      </c>
      <c r="P86" s="23" t="s">
        <v>3580</v>
      </c>
      <c r="Q86" s="38">
        <f>IFERROR(VLOOKUP(P86,[47]conductor_pz_summary_hftd_23_re!$B$2:$Q$3636,8,FALSE),0)</f>
        <v>41</v>
      </c>
      <c r="R86" s="38">
        <f>IFERROR(VLOOKUP(P86,[48]conductor_pz_summary_hftd_23_re!$B$2:$H$3636,7,0),0)/1609</f>
        <v>2.4432880788637288</v>
      </c>
      <c r="S86" s="23">
        <f>IFERROR(VLOOKUP(P86,[47]conductor_pz_summary_hftd_23_re!$B$2:$Q$3636,14,FALSE),0)</f>
        <v>1755</v>
      </c>
      <c r="T86" s="23">
        <f>IFERROR(U86*Q86,0)</f>
        <v>0.67489435474305426</v>
      </c>
      <c r="U86" s="23">
        <f>IFERROR(VLOOKUP(P86,[47]conductor_pz_summary_hftd_23_re!$B$2:$Q$3636,13,FALSE),0)</f>
        <v>1.6460837920562299E-2</v>
      </c>
      <c r="V86" s="79">
        <f>IFERROR(VLOOKUP(P86,conductor_pz_summary_hftd_23_re!$B$2:$N$3636,13,FALSE),0)</f>
        <v>2033</v>
      </c>
      <c r="W86" s="65">
        <f>(AJ86*0.67+AK86*0.99+AL86+AM86*0.99)/(SUM(AJ86:AM86))*T86*(F86/R86)</f>
        <v>0.41019236555172217</v>
      </c>
      <c r="X86" s="23">
        <v>628</v>
      </c>
      <c r="Y86" s="23" t="s">
        <v>4873</v>
      </c>
      <c r="Z86" s="23" t="s">
        <v>5134</v>
      </c>
      <c r="AA86" s="19" t="s">
        <v>4944</v>
      </c>
      <c r="AB86" s="19" t="s">
        <v>4945</v>
      </c>
      <c r="AC86" s="19" t="s">
        <v>4945</v>
      </c>
      <c r="AD86" s="19" t="s">
        <v>4877</v>
      </c>
      <c r="AE86" s="23">
        <v>5788786</v>
      </c>
      <c r="AF86" s="23" t="s">
        <v>5151</v>
      </c>
      <c r="AG86" s="23">
        <v>118266591</v>
      </c>
      <c r="AH86" s="55">
        <v>35145524</v>
      </c>
      <c r="AI86" s="23" t="s">
        <v>5152</v>
      </c>
      <c r="AJ86" s="23">
        <v>0</v>
      </c>
      <c r="AK86" s="23">
        <v>7920</v>
      </c>
      <c r="AL86" s="23">
        <v>0</v>
      </c>
      <c r="AM86" s="23">
        <v>0</v>
      </c>
      <c r="AO86" s="63" t="s">
        <v>5153</v>
      </c>
      <c r="AP86" s="23">
        <v>7920</v>
      </c>
      <c r="AQ86" s="41">
        <v>1.5</v>
      </c>
      <c r="AR86" s="42">
        <v>14953636</v>
      </c>
      <c r="AS86" s="23" t="s">
        <v>5013</v>
      </c>
      <c r="AT86" s="19">
        <v>0</v>
      </c>
      <c r="AU86" s="19">
        <v>7920</v>
      </c>
      <c r="AV86" s="19">
        <v>0</v>
      </c>
      <c r="AW86" s="23">
        <f>SUM(AT86:AV86)</f>
        <v>7920</v>
      </c>
      <c r="AX86" s="41">
        <f>AW86/5280</f>
        <v>1.5</v>
      </c>
      <c r="AY86" s="44">
        <v>6300000</v>
      </c>
      <c r="AZ86" s="58" t="s">
        <v>5154</v>
      </c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3" s="19" customFormat="1" x14ac:dyDescent="0.25">
      <c r="A87" s="35">
        <v>35137590</v>
      </c>
      <c r="B87" s="64" t="s">
        <v>5558</v>
      </c>
      <c r="C87" s="23">
        <v>14</v>
      </c>
      <c r="D87" s="23" t="s">
        <v>4871</v>
      </c>
      <c r="E87" s="110">
        <v>2021032</v>
      </c>
      <c r="F87" s="37">
        <v>0.53</v>
      </c>
      <c r="G87" s="37">
        <f>F87-K87</f>
        <v>0.53</v>
      </c>
      <c r="H87" s="20">
        <v>2021</v>
      </c>
      <c r="I87" s="37"/>
      <c r="J87" s="37"/>
      <c r="K87" s="37">
        <f>SUM(I87:J87)</f>
        <v>0</v>
      </c>
      <c r="L87" s="21">
        <v>9882.02</v>
      </c>
      <c r="M87" s="23" t="s">
        <v>4872</v>
      </c>
      <c r="N87" s="22">
        <v>43141101</v>
      </c>
      <c r="O87" s="19" t="s">
        <v>2411</v>
      </c>
      <c r="P87" s="23" t="s">
        <v>2423</v>
      </c>
      <c r="Q87" s="38">
        <f>IFERROR(VLOOKUP(P87,[47]conductor_pz_summary_hftd_23_re!$B$2:$Q$3636,8,FALSE),0)</f>
        <v>146</v>
      </c>
      <c r="R87" s="38">
        <f>IFERROR(VLOOKUP(P87,[48]conductor_pz_summary_hftd_23_re!$B$2:$H$3636,7,0),0)/1609</f>
        <v>4.7309884289804103</v>
      </c>
      <c r="S87" s="23">
        <f>IFERROR(VLOOKUP(P87,[47]conductor_pz_summary_hftd_23_re!$B$2:$Q$3636,14,FALSE),0)</f>
        <v>86</v>
      </c>
      <c r="T87" s="23">
        <f>IFERROR(U87*Q87,0)</f>
        <v>52.814377958384867</v>
      </c>
      <c r="U87" s="23">
        <f>IFERROR(VLOOKUP(P87,[47]conductor_pz_summary_hftd_23_re!$B$2:$Q$3636,13,FALSE),0)</f>
        <v>0.36174231478345797</v>
      </c>
      <c r="V87" s="79">
        <f>IFERROR(VLOOKUP(P87,conductor_pz_summary_hftd_23_re!$B$2:$N$3636,13,FALSE),0)</f>
        <v>335</v>
      </c>
      <c r="W87" s="65">
        <f>(AJ87*0.67+AK87*0.99+AL87+AM87*0.99)/(SUM(AJ87:AM87))*T87*(F87/R87)</f>
        <v>3.9641579966967457</v>
      </c>
      <c r="X87" s="23">
        <v>413</v>
      </c>
      <c r="Y87" s="23" t="s">
        <v>4873</v>
      </c>
      <c r="Z87" s="23" t="s">
        <v>4870</v>
      </c>
      <c r="AA87" s="19" t="s">
        <v>4874</v>
      </c>
      <c r="AB87" s="19" t="s">
        <v>4875</v>
      </c>
      <c r="AC87" s="19" t="s">
        <v>4876</v>
      </c>
      <c r="AD87" s="19" t="s">
        <v>4877</v>
      </c>
      <c r="AE87" s="23">
        <v>5530164</v>
      </c>
      <c r="AF87" s="23"/>
      <c r="AG87" s="23">
        <v>118093216</v>
      </c>
      <c r="AH87" s="39">
        <v>35137590</v>
      </c>
      <c r="AI87" s="23" t="s">
        <v>4878</v>
      </c>
      <c r="AJ87" s="23">
        <v>2824</v>
      </c>
      <c r="AK87" s="23">
        <v>0</v>
      </c>
      <c r="AL87" s="23">
        <v>0</v>
      </c>
      <c r="AM87" s="23">
        <v>0</v>
      </c>
      <c r="AN87" s="23"/>
      <c r="AO87" s="40" t="s">
        <v>4879</v>
      </c>
      <c r="AP87" s="23">
        <v>2798</v>
      </c>
      <c r="AQ87" s="41">
        <v>0.52992424242424241</v>
      </c>
      <c r="AR87" s="42">
        <v>564800</v>
      </c>
      <c r="AS87" s="43">
        <v>43894</v>
      </c>
      <c r="AT87" s="19">
        <v>0</v>
      </c>
      <c r="AU87" s="19">
        <v>0</v>
      </c>
      <c r="AV87" s="19">
        <v>2824</v>
      </c>
      <c r="AW87" s="23">
        <f>SUM(AT87:AV87)</f>
        <v>2824</v>
      </c>
      <c r="AX87" s="41">
        <f>AW87/5280</f>
        <v>0.5348484848484848</v>
      </c>
      <c r="AY87" s="44">
        <v>1026909.0909090908</v>
      </c>
      <c r="AZ87" s="23"/>
      <c r="BA87" s="23"/>
      <c r="BB87" s="23"/>
      <c r="BC87" s="23"/>
      <c r="BD87" s="23"/>
      <c r="BE87" s="23"/>
      <c r="BF87" s="41"/>
      <c r="BG87" s="45"/>
      <c r="BH87" s="42"/>
      <c r="BI87" s="46"/>
    </row>
    <row r="88" spans="1:63" s="19" customFormat="1" x14ac:dyDescent="0.25">
      <c r="A88" s="35">
        <v>35137593</v>
      </c>
      <c r="B88" s="64" t="s">
        <v>5558</v>
      </c>
      <c r="C88" s="23">
        <v>14</v>
      </c>
      <c r="D88" s="23" t="s">
        <v>4871</v>
      </c>
      <c r="E88" s="110">
        <v>2021033</v>
      </c>
      <c r="F88" s="37">
        <v>1.38</v>
      </c>
      <c r="G88" s="37">
        <f>F88-K88</f>
        <v>1.38</v>
      </c>
      <c r="H88" s="20">
        <v>2021</v>
      </c>
      <c r="I88" s="37"/>
      <c r="J88" s="37"/>
      <c r="K88" s="37">
        <f>SUM(I88:J88)</f>
        <v>0</v>
      </c>
      <c r="L88" s="21">
        <v>5873.88</v>
      </c>
      <c r="M88" s="23" t="s">
        <v>4872</v>
      </c>
      <c r="N88" s="22">
        <v>43141101</v>
      </c>
      <c r="O88" s="19" t="s">
        <v>2411</v>
      </c>
      <c r="P88" s="23" t="s">
        <v>2415</v>
      </c>
      <c r="Q88" s="38">
        <f>IFERROR(VLOOKUP(P88,[47]conductor_pz_summary_hftd_23_re!$B$2:$Q$3636,8,FALSE),0)</f>
        <v>165</v>
      </c>
      <c r="R88" s="38">
        <f>IFERROR(VLOOKUP(P88,[48]conductor_pz_summary_hftd_23_re!$B$2:$H$3636,7,0),0)/1609</f>
        <v>18.563266053612306</v>
      </c>
      <c r="S88" s="23">
        <f>IFERROR(VLOOKUP(P88,[47]conductor_pz_summary_hftd_23_re!$B$2:$Q$3636,14,FALSE),0)</f>
        <v>328</v>
      </c>
      <c r="T88" s="23">
        <f>IFERROR(U88*Q88,0)</f>
        <v>32.971204186399547</v>
      </c>
      <c r="U88" s="23">
        <f>IFERROR(VLOOKUP(P88,[47]conductor_pz_summary_hftd_23_re!$B$2:$Q$3636,13,FALSE),0)</f>
        <v>0.19982547991757299</v>
      </c>
      <c r="V88" s="79">
        <f>IFERROR(VLOOKUP(P88,conductor_pz_summary_hftd_23_re!$B$2:$N$3636,13,FALSE),0)</f>
        <v>415</v>
      </c>
      <c r="W88" s="65">
        <f>(AJ88*0.67+AK88*0.99+AL88+AM88*0.99)/(SUM(AJ88:AM88))*T88*(F88/R88)</f>
        <v>1.6422312379029214</v>
      </c>
      <c r="X88" s="23">
        <v>235</v>
      </c>
      <c r="Y88" s="23" t="s">
        <v>4873</v>
      </c>
      <c r="Z88" s="23" t="s">
        <v>4870</v>
      </c>
      <c r="AA88" s="19" t="s">
        <v>4907</v>
      </c>
      <c r="AB88" s="19" t="s">
        <v>4875</v>
      </c>
      <c r="AC88" s="19" t="s">
        <v>4876</v>
      </c>
      <c r="AD88" s="19" t="s">
        <v>4877</v>
      </c>
      <c r="AE88" s="23">
        <v>5530164</v>
      </c>
      <c r="AF88" s="23"/>
      <c r="AG88" s="23">
        <v>118125945</v>
      </c>
      <c r="AH88" s="39">
        <v>35137593</v>
      </c>
      <c r="AI88" s="23" t="s">
        <v>4908</v>
      </c>
      <c r="AJ88" s="23">
        <v>7273</v>
      </c>
      <c r="AK88" s="23">
        <v>0</v>
      </c>
      <c r="AL88" s="23">
        <v>0</v>
      </c>
      <c r="AM88" s="23">
        <v>0</v>
      </c>
      <c r="AN88" s="23"/>
      <c r="AO88" s="40" t="s">
        <v>4909</v>
      </c>
      <c r="AP88" s="23">
        <v>7286</v>
      </c>
      <c r="AQ88" s="41">
        <v>1.3799242424242424</v>
      </c>
      <c r="AR88" s="42">
        <v>1454600</v>
      </c>
      <c r="AS88" s="43">
        <v>43894</v>
      </c>
      <c r="AT88" s="19">
        <v>0</v>
      </c>
      <c r="AU88" s="19">
        <v>0</v>
      </c>
      <c r="AV88" s="19">
        <v>7273</v>
      </c>
      <c r="AW88" s="23">
        <f>SUM(AT88:AV88)</f>
        <v>7273</v>
      </c>
      <c r="AX88" s="41">
        <f>AW88/5280</f>
        <v>1.3774621212121212</v>
      </c>
      <c r="AY88" s="44">
        <v>2644727.2727272725</v>
      </c>
      <c r="AZ88" s="23"/>
      <c r="BA88" s="23"/>
      <c r="BB88" s="23"/>
      <c r="BC88" s="23"/>
      <c r="BD88" s="23"/>
      <c r="BE88" s="23"/>
      <c r="BF88" s="41"/>
      <c r="BG88" s="45"/>
      <c r="BH88" s="42"/>
      <c r="BI88" s="46"/>
    </row>
    <row r="89" spans="1:63" s="19" customFormat="1" x14ac:dyDescent="0.25">
      <c r="A89" s="35">
        <v>35137596</v>
      </c>
      <c r="B89" s="64" t="s">
        <v>5558</v>
      </c>
      <c r="C89" s="23">
        <v>14</v>
      </c>
      <c r="D89" s="23" t="s">
        <v>4871</v>
      </c>
      <c r="E89" s="110">
        <v>2021034</v>
      </c>
      <c r="F89" s="37">
        <v>0.97</v>
      </c>
      <c r="G89" s="37">
        <f>F89-K89</f>
        <v>0.97</v>
      </c>
      <c r="H89" s="20">
        <v>2021</v>
      </c>
      <c r="I89" s="37"/>
      <c r="J89" s="37"/>
      <c r="K89" s="37">
        <f>SUM(I89:J89)</f>
        <v>0</v>
      </c>
      <c r="L89" s="21">
        <v>3845.67</v>
      </c>
      <c r="M89" s="23" t="s">
        <v>4872</v>
      </c>
      <c r="N89" s="22">
        <v>43141101</v>
      </c>
      <c r="O89" s="19" t="s">
        <v>2411</v>
      </c>
      <c r="P89" s="23" t="s">
        <v>2415</v>
      </c>
      <c r="Q89" s="38">
        <f>IFERROR(VLOOKUP(P89,[47]conductor_pz_summary_hftd_23_re!$B$2:$Q$3636,8,FALSE),0)</f>
        <v>165</v>
      </c>
      <c r="R89" s="38">
        <f>IFERROR(VLOOKUP(P89,[48]conductor_pz_summary_hftd_23_re!$B$2:$H$3636,7,0),0)/1609</f>
        <v>18.563266053612306</v>
      </c>
      <c r="S89" s="23">
        <f>IFERROR(VLOOKUP(P89,[47]conductor_pz_summary_hftd_23_re!$B$2:$Q$3636,14,FALSE),0)</f>
        <v>328</v>
      </c>
      <c r="T89" s="23">
        <f>IFERROR(U89*Q89,0)</f>
        <v>32.971204186399547</v>
      </c>
      <c r="U89" s="23">
        <f>IFERROR(VLOOKUP(P89,[47]conductor_pz_summary_hftd_23_re!$B$2:$Q$3636,13,FALSE),0)</f>
        <v>0.19982547991757299</v>
      </c>
      <c r="V89" s="79">
        <f>IFERROR(VLOOKUP(P89,conductor_pz_summary_hftd_23_re!$B$2:$N$3636,13,FALSE),0)</f>
        <v>415</v>
      </c>
      <c r="W89" s="65">
        <f>(AJ89*0.67+AK89*0.99+AL89+AM89*0.99)/(SUM(AJ89:AM89))*T89*(F89/R89)</f>
        <v>1.1543219570766914</v>
      </c>
      <c r="X89" s="23">
        <v>235</v>
      </c>
      <c r="Y89" s="23" t="s">
        <v>4873</v>
      </c>
      <c r="Z89" s="23" t="s">
        <v>4870</v>
      </c>
      <c r="AA89" s="19" t="s">
        <v>4907</v>
      </c>
      <c r="AB89" s="19" t="s">
        <v>4875</v>
      </c>
      <c r="AC89" s="19" t="s">
        <v>4876</v>
      </c>
      <c r="AD89" s="19" t="s">
        <v>4877</v>
      </c>
      <c r="AE89" s="23">
        <v>5530164</v>
      </c>
      <c r="AF89" s="23"/>
      <c r="AG89" s="23">
        <v>118127757</v>
      </c>
      <c r="AH89" s="39">
        <v>35137596</v>
      </c>
      <c r="AI89" s="23" t="s">
        <v>4910</v>
      </c>
      <c r="AJ89" s="23">
        <v>5131</v>
      </c>
      <c r="AK89" s="23">
        <v>0</v>
      </c>
      <c r="AL89" s="23">
        <v>0</v>
      </c>
      <c r="AM89" s="23">
        <v>0</v>
      </c>
      <c r="AN89" s="23"/>
      <c r="AO89" s="40" t="s">
        <v>4911</v>
      </c>
      <c r="AP89" s="23">
        <v>5121</v>
      </c>
      <c r="AQ89" s="41">
        <v>0.9698863636363636</v>
      </c>
      <c r="AR89" s="42">
        <v>1026000</v>
      </c>
      <c r="AS89" s="43">
        <v>43894</v>
      </c>
      <c r="AT89" s="19">
        <v>0</v>
      </c>
      <c r="AU89" s="19">
        <v>0</v>
      </c>
      <c r="AV89" s="19">
        <v>5131</v>
      </c>
      <c r="AW89" s="23">
        <f>SUM(AT89:AV89)</f>
        <v>5131</v>
      </c>
      <c r="AX89" s="41">
        <f>AW89/5280</f>
        <v>0.97178030303030305</v>
      </c>
      <c r="AY89" s="44">
        <v>1865818.1818181819</v>
      </c>
      <c r="AZ89" s="23"/>
      <c r="BA89" s="23"/>
      <c r="BB89" s="23"/>
      <c r="BC89" s="23"/>
      <c r="BD89" s="23"/>
      <c r="BE89" s="23"/>
      <c r="BF89" s="41"/>
      <c r="BG89" s="45"/>
      <c r="BH89" s="42"/>
      <c r="BI89" s="46"/>
    </row>
    <row r="90" spans="1:63" s="19" customFormat="1" x14ac:dyDescent="0.25">
      <c r="A90" s="47">
        <v>35191319</v>
      </c>
      <c r="B90" s="64" t="s">
        <v>5558</v>
      </c>
      <c r="C90" s="23">
        <v>9</v>
      </c>
      <c r="D90" s="23" t="s">
        <v>4871</v>
      </c>
      <c r="E90" s="110">
        <v>2021035</v>
      </c>
      <c r="F90" s="23">
        <v>0.76</v>
      </c>
      <c r="G90" s="37">
        <f>F90-K90</f>
        <v>0.76</v>
      </c>
      <c r="H90" s="20">
        <v>2021</v>
      </c>
      <c r="I90" s="37"/>
      <c r="J90" s="37"/>
      <c r="K90" s="37">
        <f>SUM(I90:J90)</f>
        <v>0</v>
      </c>
      <c r="L90" s="21">
        <v>3102.71</v>
      </c>
      <c r="M90" s="23" t="s">
        <v>4880</v>
      </c>
      <c r="N90" s="22">
        <v>42991105</v>
      </c>
      <c r="O90" s="19" t="s">
        <v>2116</v>
      </c>
      <c r="P90" s="23" t="s">
        <v>2120</v>
      </c>
      <c r="Q90" s="38">
        <f>IFERROR(VLOOKUP(P90,[47]conductor_pz_summary_hftd_23_re!$B$2:$Q$3636,8,FALSE),0)</f>
        <v>54</v>
      </c>
      <c r="R90" s="38">
        <f>IFERROR(VLOOKUP(P90,[48]conductor_pz_summary_hftd_23_re!$B$2:$H$3636,7,0),0)/1609</f>
        <v>5.5621412430313679</v>
      </c>
      <c r="S90" s="23">
        <f>IFERROR(VLOOKUP(P90,[47]conductor_pz_summary_hftd_23_re!$B$2:$Q$3636,14,FALSE),0)</f>
        <v>215</v>
      </c>
      <c r="T90" s="23">
        <f>IFERROR(U90*Q90,0)</f>
        <v>13.503172229263008</v>
      </c>
      <c r="U90" s="23">
        <f>IFERROR(VLOOKUP(P90,[47]conductor_pz_summary_hftd_23_re!$B$2:$Q$3636,13,FALSE),0)</f>
        <v>0.250058744986352</v>
      </c>
      <c r="V90" s="79">
        <f>IFERROR(VLOOKUP(P90,conductor_pz_summary_hftd_23_re!$B$2:$N$3636,13,FALSE),0)</f>
        <v>739</v>
      </c>
      <c r="W90" s="65">
        <f>(AJ90*0.67+AK90*0.99+AL90+AM90*0.99)/(SUM(AJ90:AM90))*T90*(F90/R90)</f>
        <v>1.5881595136297446</v>
      </c>
      <c r="X90" s="23">
        <v>213</v>
      </c>
      <c r="Y90" s="23" t="s">
        <v>4873</v>
      </c>
      <c r="Z90" s="23" t="s">
        <v>4870</v>
      </c>
      <c r="AA90" s="19" t="s">
        <v>4881</v>
      </c>
      <c r="AB90" s="19" t="s">
        <v>4882</v>
      </c>
      <c r="AC90" s="19" t="s">
        <v>4883</v>
      </c>
      <c r="AD90" s="19" t="s">
        <v>4877</v>
      </c>
      <c r="AE90" s="23">
        <v>5541305</v>
      </c>
      <c r="AF90" s="23" t="s">
        <v>4884</v>
      </c>
      <c r="AG90" s="23">
        <v>119518398</v>
      </c>
      <c r="AH90" s="48" t="s">
        <v>4885</v>
      </c>
      <c r="AI90" s="23" t="s">
        <v>4886</v>
      </c>
      <c r="AJ90" s="23">
        <v>2217.6</v>
      </c>
      <c r="AK90" s="23">
        <v>3273.6</v>
      </c>
      <c r="AL90" s="23">
        <v>0</v>
      </c>
      <c r="AM90" s="23">
        <v>0</v>
      </c>
      <c r="AO90" s="40" t="s">
        <v>5410</v>
      </c>
      <c r="AP90" s="23">
        <f>AQ90*5280</f>
        <v>5491.2</v>
      </c>
      <c r="AQ90" s="41">
        <v>1.04</v>
      </c>
      <c r="AR90" s="42">
        <v>1673104</v>
      </c>
      <c r="AS90" s="49" t="s">
        <v>4887</v>
      </c>
      <c r="AU90" s="19">
        <f>0.62*5280</f>
        <v>3273.6</v>
      </c>
      <c r="AV90" s="19">
        <f>0.42*5280</f>
        <v>2217.6</v>
      </c>
      <c r="AW90" s="23">
        <f>SUM(AT90:AV90)</f>
        <v>5491.2</v>
      </c>
      <c r="AX90" s="41">
        <f>AW90/5280</f>
        <v>1.04</v>
      </c>
      <c r="AZ90" s="23"/>
      <c r="BA90" s="23"/>
      <c r="BB90" s="23"/>
      <c r="BC90" s="23"/>
      <c r="BD90" s="23"/>
      <c r="BE90" s="23"/>
      <c r="BF90" s="41"/>
      <c r="BG90" s="45"/>
      <c r="BH90" s="42"/>
      <c r="BI90" s="46"/>
    </row>
    <row r="91" spans="1:63" s="19" customFormat="1" x14ac:dyDescent="0.25">
      <c r="A91" s="47">
        <v>35192284</v>
      </c>
      <c r="B91" s="64" t="s">
        <v>5558</v>
      </c>
      <c r="C91" s="23">
        <v>9</v>
      </c>
      <c r="D91" s="23" t="s">
        <v>4871</v>
      </c>
      <c r="E91" s="110">
        <v>2021036</v>
      </c>
      <c r="F91" s="23">
        <v>5.89</v>
      </c>
      <c r="G91" s="37">
        <f>F91-K91</f>
        <v>5.89</v>
      </c>
      <c r="H91" s="20">
        <v>2021</v>
      </c>
      <c r="I91" s="37"/>
      <c r="J91" s="37"/>
      <c r="K91" s="37">
        <f>SUM(I91:J91)</f>
        <v>0</v>
      </c>
      <c r="L91" s="21">
        <v>5596.71</v>
      </c>
      <c r="M91" s="23" t="s">
        <v>4880</v>
      </c>
      <c r="N91" s="22">
        <v>43432104</v>
      </c>
      <c r="O91" s="19" t="s">
        <v>4061</v>
      </c>
      <c r="P91" s="23" t="s">
        <v>4067</v>
      </c>
      <c r="Q91" s="38">
        <f>IFERROR(VLOOKUP(P91,[47]conductor_pz_summary_hftd_23_re!$B$2:$Q$3636,8,FALSE),0)</f>
        <v>263</v>
      </c>
      <c r="R91" s="38">
        <f>IFERROR(VLOOKUP(P91,[48]conductor_pz_summary_hftd_23_re!$B$2:$H$3636,7,0),0)/1609</f>
        <v>30.376151265549659</v>
      </c>
      <c r="S91" s="23">
        <f>IFERROR(VLOOKUP(P91,[47]conductor_pz_summary_hftd_23_re!$B$2:$Q$3636,14,FALSE),0)</f>
        <v>279</v>
      </c>
      <c r="T91" s="23">
        <f>IFERROR(U91*Q91,0)</f>
        <v>58.772459161502169</v>
      </c>
      <c r="U91" s="23">
        <f>IFERROR(VLOOKUP(P91,[47]conductor_pz_summary_hftd_23_re!$B$2:$Q$3636,13,FALSE),0)</f>
        <v>0.22346942646959</v>
      </c>
      <c r="V91" s="79">
        <f>IFERROR(VLOOKUP(P91,conductor_pz_summary_hftd_23_re!$B$2:$N$3636,13,FALSE),0)</f>
        <v>368</v>
      </c>
      <c r="W91" s="65">
        <f>(AJ91*0.67+AK91*0.99+AL91+AM91*0.99)/(SUM(AJ91:AM91))*T91*(F91/R91)</f>
        <v>7.6353898017382411</v>
      </c>
      <c r="X91" s="23">
        <v>582</v>
      </c>
      <c r="Y91" s="23" t="s">
        <v>4873</v>
      </c>
      <c r="Z91" s="23" t="s">
        <v>4870</v>
      </c>
      <c r="AA91" s="19" t="s">
        <v>4901</v>
      </c>
      <c r="AB91" s="19" t="s">
        <v>4902</v>
      </c>
      <c r="AC91" s="19" t="s">
        <v>4883</v>
      </c>
      <c r="AD91" s="19" t="s">
        <v>4903</v>
      </c>
      <c r="AE91" s="23">
        <v>5792107</v>
      </c>
      <c r="AF91" s="23" t="s">
        <v>4904</v>
      </c>
      <c r="AG91" s="23">
        <v>119556691</v>
      </c>
      <c r="AH91" s="48" t="s">
        <v>4905</v>
      </c>
      <c r="AI91" s="52" t="s">
        <v>4906</v>
      </c>
      <c r="AJ91" s="23">
        <v>34008</v>
      </c>
      <c r="AK91" s="52">
        <v>0</v>
      </c>
      <c r="AL91" s="52">
        <v>0</v>
      </c>
      <c r="AM91" s="52">
        <v>0</v>
      </c>
      <c r="AO91" s="40" t="s">
        <v>5411</v>
      </c>
      <c r="AP91" s="23"/>
      <c r="AQ91" s="41">
        <v>0</v>
      </c>
      <c r="AR91" s="42"/>
      <c r="AS91" s="49" t="s">
        <v>4887</v>
      </c>
      <c r="AW91" s="23">
        <f>SUM(AT91:AV91)</f>
        <v>0</v>
      </c>
      <c r="AX91" s="41">
        <f>AW91/5280</f>
        <v>0</v>
      </c>
      <c r="AZ91" s="23"/>
      <c r="BA91" s="23"/>
      <c r="BB91" s="23"/>
      <c r="BC91" s="23"/>
      <c r="BD91" s="23"/>
      <c r="BE91" s="23"/>
      <c r="BF91" s="41"/>
      <c r="BG91" s="45"/>
      <c r="BH91" s="42"/>
      <c r="BI91" s="46"/>
    </row>
    <row r="92" spans="1:63" s="19" customFormat="1" x14ac:dyDescent="0.25">
      <c r="A92" s="47">
        <v>35192280</v>
      </c>
      <c r="B92" s="64" t="s">
        <v>5558</v>
      </c>
      <c r="C92" s="23">
        <v>9</v>
      </c>
      <c r="D92" s="23" t="s">
        <v>4871</v>
      </c>
      <c r="E92" s="110">
        <v>2021037</v>
      </c>
      <c r="F92" s="23">
        <v>2.73</v>
      </c>
      <c r="G92" s="37">
        <f>F92-K92</f>
        <v>2.73</v>
      </c>
      <c r="H92" s="20">
        <v>2021</v>
      </c>
      <c r="I92" s="37"/>
      <c r="J92" s="37"/>
      <c r="K92" s="37">
        <f>SUM(I92:J92)</f>
        <v>0</v>
      </c>
      <c r="L92" s="21">
        <v>3068.26</v>
      </c>
      <c r="M92" s="23" t="s">
        <v>4880</v>
      </c>
      <c r="N92" s="22">
        <v>12022212</v>
      </c>
      <c r="O92" s="19" t="s">
        <v>846</v>
      </c>
      <c r="P92" s="23" t="s">
        <v>851</v>
      </c>
      <c r="Q92" s="38">
        <f>IFERROR(VLOOKUP(P92,[47]conductor_pz_summary_hftd_23_re!$B$2:$Q$3636,8,FALSE),0)</f>
        <v>174</v>
      </c>
      <c r="R92" s="38">
        <f>IFERROR(VLOOKUP(P92,[48]conductor_pz_summary_hftd_23_re!$B$2:$H$3636,7,0),0)/1609</f>
        <v>19.399195081280546</v>
      </c>
      <c r="S92" s="23">
        <f>IFERROR(VLOOKUP(P92,[47]conductor_pz_summary_hftd_23_re!$B$2:$Q$3636,14,FALSE),0)</f>
        <v>377</v>
      </c>
      <c r="T92" s="23">
        <f>IFERROR(U92*Q92,0)</f>
        <v>32.632874338333039</v>
      </c>
      <c r="U92" s="23">
        <f>IFERROR(VLOOKUP(P92,[47]conductor_pz_summary_hftd_23_re!$B$2:$Q$3636,13,FALSE),0)</f>
        <v>0.18754525481800599</v>
      </c>
      <c r="V92" s="79">
        <f>IFERROR(VLOOKUP(P92,conductor_pz_summary_hftd_23_re!$B$2:$N$3636,13,FALSE),0)</f>
        <v>281</v>
      </c>
      <c r="W92" s="65">
        <f>(AJ92*0.67+AK92*0.99+AL92+AM92*0.99)/(SUM(AJ92:AM92))*T92*(F92/R92)</f>
        <v>3.7766549524360644</v>
      </c>
      <c r="X92" s="23">
        <v>267</v>
      </c>
      <c r="Y92" s="23" t="s">
        <v>4873</v>
      </c>
      <c r="Z92" s="23" t="s">
        <v>4870</v>
      </c>
      <c r="AA92" s="19" t="s">
        <v>4916</v>
      </c>
      <c r="AB92" s="19" t="s">
        <v>4917</v>
      </c>
      <c r="AC92" s="19" t="s">
        <v>4918</v>
      </c>
      <c r="AD92" s="19" t="s">
        <v>4903</v>
      </c>
      <c r="AE92" s="23">
        <v>5792091</v>
      </c>
      <c r="AF92" s="23" t="s">
        <v>4919</v>
      </c>
      <c r="AG92" s="23">
        <v>119556070</v>
      </c>
      <c r="AH92" s="48" t="s">
        <v>4920</v>
      </c>
      <c r="AI92" s="23" t="s">
        <v>5437</v>
      </c>
      <c r="AJ92" s="23">
        <v>7550.4</v>
      </c>
      <c r="AK92" s="23">
        <v>6864</v>
      </c>
      <c r="AL92" s="23">
        <v>0</v>
      </c>
      <c r="AM92" s="23">
        <v>0</v>
      </c>
      <c r="AN92" s="51" t="s">
        <v>5413</v>
      </c>
      <c r="AO92" s="40" t="s">
        <v>5412</v>
      </c>
      <c r="AP92" s="23">
        <f>AQ92*5280</f>
        <v>14414.4</v>
      </c>
      <c r="AQ92" s="41">
        <v>2.73</v>
      </c>
      <c r="AR92" s="42">
        <v>4538638</v>
      </c>
      <c r="AT92" s="19">
        <f>0.99*5280</f>
        <v>5227.2</v>
      </c>
      <c r="AU92" s="19">
        <f>1.3*5280</f>
        <v>6864</v>
      </c>
      <c r="AV92" s="19">
        <f>1.43*5280</f>
        <v>7550.4</v>
      </c>
      <c r="AW92" s="23">
        <f>SUM(AT92:AV92)</f>
        <v>19641.599999999999</v>
      </c>
      <c r="AX92" s="41">
        <f>AW92/5280</f>
        <v>3.7199999999999998</v>
      </c>
      <c r="AZ92" s="79"/>
      <c r="BA92" s="79"/>
      <c r="BB92" s="23"/>
      <c r="BC92" s="23"/>
      <c r="BD92" s="23"/>
      <c r="BE92" s="23"/>
      <c r="BF92" s="41"/>
      <c r="BG92" s="45"/>
      <c r="BH92" s="42"/>
      <c r="BI92" s="46"/>
    </row>
    <row r="93" spans="1:63" s="19" customFormat="1" x14ac:dyDescent="0.25">
      <c r="A93" s="47">
        <v>35192282</v>
      </c>
      <c r="B93" s="64" t="s">
        <v>5558</v>
      </c>
      <c r="C93" s="23">
        <v>9</v>
      </c>
      <c r="D93" s="23" t="s">
        <v>4871</v>
      </c>
      <c r="E93" s="110">
        <v>2021038</v>
      </c>
      <c r="F93" s="23">
        <v>7.75</v>
      </c>
      <c r="G93" s="37">
        <f>F93-K93</f>
        <v>7.75</v>
      </c>
      <c r="H93" s="20">
        <v>2021</v>
      </c>
      <c r="I93" s="37"/>
      <c r="J93" s="37"/>
      <c r="K93" s="37">
        <f>SUM(I93:J93)</f>
        <v>0</v>
      </c>
      <c r="L93" s="21">
        <v>4121.46</v>
      </c>
      <c r="M93" s="23" t="s">
        <v>4880</v>
      </c>
      <c r="N93" s="22">
        <v>43141101</v>
      </c>
      <c r="O93" s="19" t="s">
        <v>2411</v>
      </c>
      <c r="P93" s="23" t="s">
        <v>2417</v>
      </c>
      <c r="Q93" s="38">
        <f>IFERROR(VLOOKUP(P93,[47]conductor_pz_summary_hftd_23_re!$B$2:$Q$3636,8,FALSE),0)</f>
        <v>110</v>
      </c>
      <c r="R93" s="38">
        <f>IFERROR(VLOOKUP(P93,[48]conductor_pz_summary_hftd_23_re!$B$2:$H$3636,7,0),0)/1609</f>
        <v>10.699357953170976</v>
      </c>
      <c r="S93" s="23">
        <f>IFERROR(VLOOKUP(P93,[47]conductor_pz_summary_hftd_23_re!$B$2:$Q$3636,14,FALSE),0)</f>
        <v>468</v>
      </c>
      <c r="T93" s="23">
        <f>IFERROR(U93*Q93,0)</f>
        <v>17.632724796949901</v>
      </c>
      <c r="U93" s="23">
        <f>IFERROR(VLOOKUP(P93,[47]conductor_pz_summary_hftd_23_re!$B$2:$Q$3636,13,FALSE),0)</f>
        <v>0.16029749815409</v>
      </c>
      <c r="V93" s="79">
        <f>IFERROR(VLOOKUP(P93,conductor_pz_summary_hftd_23_re!$B$2:$N$3636,13,FALSE),0)</f>
        <v>729</v>
      </c>
      <c r="W93" s="65">
        <f>(AJ93*0.67+AK93*0.99+AL93+AM93*0.99)/(SUM(AJ93:AM93))*T93*(F93/R93)</f>
        <v>10.756461222994535</v>
      </c>
      <c r="X93" s="23">
        <v>375</v>
      </c>
      <c r="Y93" s="23" t="s">
        <v>4873</v>
      </c>
      <c r="Z93" s="23" t="s">
        <v>4870</v>
      </c>
      <c r="AA93" s="19" t="s">
        <v>4874</v>
      </c>
      <c r="AB93" s="19" t="s">
        <v>4875</v>
      </c>
      <c r="AC93" s="19" t="s">
        <v>4876</v>
      </c>
      <c r="AD93" s="19" t="s">
        <v>4877</v>
      </c>
      <c r="AE93" s="23">
        <v>5792098</v>
      </c>
      <c r="AF93" s="23" t="s">
        <v>4924</v>
      </c>
      <c r="AG93" s="23">
        <v>119556300</v>
      </c>
      <c r="AH93" s="48" t="s">
        <v>4925</v>
      </c>
      <c r="AI93" s="23" t="s">
        <v>4926</v>
      </c>
      <c r="AJ93" s="23">
        <v>18902.400000000001</v>
      </c>
      <c r="AK93" s="23">
        <v>22018</v>
      </c>
      <c r="AL93" s="23">
        <v>0</v>
      </c>
      <c r="AM93" s="23">
        <v>0</v>
      </c>
      <c r="AN93" s="51" t="s">
        <v>5417</v>
      </c>
      <c r="AO93" s="40" t="s">
        <v>5416</v>
      </c>
      <c r="AP93" s="23">
        <f>AQ93*5280</f>
        <v>40920</v>
      </c>
      <c r="AQ93" s="41">
        <v>7.75</v>
      </c>
      <c r="AR93" s="42">
        <v>11896580</v>
      </c>
      <c r="AS93" s="49" t="s">
        <v>4887</v>
      </c>
      <c r="AU93" s="19">
        <f>4.17*5280</f>
        <v>22017.599999999999</v>
      </c>
      <c r="AV93" s="19">
        <f>3.58*5280</f>
        <v>18902.400000000001</v>
      </c>
      <c r="AW93" s="23">
        <f>SUM(AT93:AV93)</f>
        <v>40920</v>
      </c>
      <c r="AX93" s="41">
        <f>AW93/5280</f>
        <v>7.75</v>
      </c>
      <c r="AZ93" s="23"/>
      <c r="BA93" s="23"/>
      <c r="BB93" s="23"/>
      <c r="BC93" s="23"/>
      <c r="BD93" s="23"/>
      <c r="BE93" s="23"/>
      <c r="BF93" s="41"/>
      <c r="BG93" s="45"/>
      <c r="BH93" s="42"/>
      <c r="BI93" s="46"/>
    </row>
    <row r="94" spans="1:63" s="19" customFormat="1" x14ac:dyDescent="0.25">
      <c r="A94" s="47">
        <v>35192281</v>
      </c>
      <c r="B94" s="64" t="s">
        <v>5558</v>
      </c>
      <c r="C94" s="23">
        <v>9</v>
      </c>
      <c r="D94" s="23" t="s">
        <v>4871</v>
      </c>
      <c r="E94" s="110">
        <v>2021039</v>
      </c>
      <c r="F94" s="23">
        <v>5.94</v>
      </c>
      <c r="G94" s="37">
        <f>F94-K94</f>
        <v>5.94</v>
      </c>
      <c r="H94" s="20">
        <v>2021</v>
      </c>
      <c r="I94" s="37"/>
      <c r="J94" s="37"/>
      <c r="K94" s="37">
        <f>SUM(I94:J94)</f>
        <v>0</v>
      </c>
      <c r="L94" s="21">
        <v>3077.69</v>
      </c>
      <c r="M94" s="23" t="s">
        <v>4880</v>
      </c>
      <c r="N94" s="22">
        <v>43141101</v>
      </c>
      <c r="O94" s="19" t="s">
        <v>2411</v>
      </c>
      <c r="P94" s="23" t="s">
        <v>2417</v>
      </c>
      <c r="Q94" s="38">
        <f>IFERROR(VLOOKUP(P94,[47]conductor_pz_summary_hftd_23_re!$B$2:$Q$3636,8,FALSE),0)</f>
        <v>110</v>
      </c>
      <c r="R94" s="38">
        <f>IFERROR(VLOOKUP(P94,[48]conductor_pz_summary_hftd_23_re!$B$2:$H$3636,7,0),0)/1609</f>
        <v>10.699357953170976</v>
      </c>
      <c r="S94" s="23">
        <f>IFERROR(VLOOKUP(P94,[47]conductor_pz_summary_hftd_23_re!$B$2:$Q$3636,14,FALSE),0)</f>
        <v>468</v>
      </c>
      <c r="T94" s="23">
        <f>IFERROR(U94*Q94,0)</f>
        <v>17.632724796949901</v>
      </c>
      <c r="U94" s="23">
        <f>IFERROR(VLOOKUP(P94,[47]conductor_pz_summary_hftd_23_re!$B$2:$Q$3636,13,FALSE),0)</f>
        <v>0.16029749815409</v>
      </c>
      <c r="V94" s="79">
        <f>IFERROR(VLOOKUP(P94,conductor_pz_summary_hftd_23_re!$B$2:$N$3636,13,FALSE),0)</f>
        <v>729</v>
      </c>
      <c r="W94" s="65">
        <f>(AJ94*0.67+AK94*0.99+AL94+AM94*0.99)/(SUM(AJ94:AM94))*T94*(F94/R94)</f>
        <v>7.9457273518338472</v>
      </c>
      <c r="X94" s="23">
        <v>375</v>
      </c>
      <c r="Y94" s="23" t="s">
        <v>4873</v>
      </c>
      <c r="Z94" s="23" t="s">
        <v>4870</v>
      </c>
      <c r="AA94" s="19" t="s">
        <v>4874</v>
      </c>
      <c r="AB94" s="19" t="s">
        <v>4875</v>
      </c>
      <c r="AC94" s="19" t="s">
        <v>4876</v>
      </c>
      <c r="AD94" s="19" t="s">
        <v>4877</v>
      </c>
      <c r="AE94" s="23">
        <v>5792097</v>
      </c>
      <c r="AF94" s="23" t="s">
        <v>4921</v>
      </c>
      <c r="AG94" s="23">
        <v>119556250</v>
      </c>
      <c r="AH94" s="48" t="s">
        <v>4922</v>
      </c>
      <c r="AI94" s="23" t="s">
        <v>4923</v>
      </c>
      <c r="AJ94" s="23">
        <v>17476.8</v>
      </c>
      <c r="AK94" s="23">
        <v>13886</v>
      </c>
      <c r="AL94" s="23">
        <v>0</v>
      </c>
      <c r="AM94" s="23">
        <v>0</v>
      </c>
      <c r="AN94" s="51" t="s">
        <v>5415</v>
      </c>
      <c r="AO94" s="40" t="s">
        <v>5414</v>
      </c>
      <c r="AP94" s="23">
        <f>AQ94*5280</f>
        <v>31363.200000000001</v>
      </c>
      <c r="AQ94" s="41">
        <v>5.94</v>
      </c>
      <c r="AR94" s="42">
        <v>8593932</v>
      </c>
      <c r="AS94" s="49" t="s">
        <v>4887</v>
      </c>
      <c r="AU94" s="19">
        <f>2.63*5280</f>
        <v>13886.4</v>
      </c>
      <c r="AV94" s="19">
        <f>3.31*5280</f>
        <v>17476.8</v>
      </c>
      <c r="AW94" s="23">
        <f>SUM(AT94:AV94)</f>
        <v>31363.199999999997</v>
      </c>
      <c r="AX94" s="41">
        <f>AW94/5280</f>
        <v>5.9399999999999995</v>
      </c>
      <c r="AZ94" s="23"/>
      <c r="BA94" s="23"/>
      <c r="BB94" s="23"/>
      <c r="BC94" s="23"/>
      <c r="BD94" s="23"/>
      <c r="BE94" s="23"/>
      <c r="BF94" s="41"/>
      <c r="BG94" s="45"/>
      <c r="BH94" s="42"/>
      <c r="BI94" s="46"/>
    </row>
    <row r="95" spans="1:63" s="19" customFormat="1" x14ac:dyDescent="0.25">
      <c r="A95" s="55">
        <v>35174479</v>
      </c>
      <c r="B95" s="64" t="s">
        <v>5558</v>
      </c>
      <c r="C95" s="23">
        <v>9</v>
      </c>
      <c r="D95" s="23" t="s">
        <v>4871</v>
      </c>
      <c r="E95" s="110">
        <v>2021040</v>
      </c>
      <c r="F95" s="23">
        <v>9.25</v>
      </c>
      <c r="G95" s="37">
        <f>F95-K95</f>
        <v>9.25</v>
      </c>
      <c r="H95" s="20">
        <v>2021</v>
      </c>
      <c r="I95" s="37"/>
      <c r="J95" s="37"/>
      <c r="K95" s="37">
        <f>SUM(I95:J95)</f>
        <v>0</v>
      </c>
      <c r="L95" s="21">
        <v>12588.16</v>
      </c>
      <c r="M95" s="23" t="s">
        <v>4880</v>
      </c>
      <c r="N95" s="22">
        <v>43141101</v>
      </c>
      <c r="O95" s="19" t="s">
        <v>2411</v>
      </c>
      <c r="P95" s="23" t="s">
        <v>2418</v>
      </c>
      <c r="Q95" s="38">
        <f>IFERROR(VLOOKUP(P95,[47]conductor_pz_summary_hftd_23_re!$B$2:$Q$3636,8,FALSE),0)</f>
        <v>298</v>
      </c>
      <c r="R95" s="38">
        <f>IFERROR(VLOOKUP(P95,[48]conductor_pz_summary_hftd_23_re!$B$2:$H$3636,7,0),0)/1609</f>
        <v>27.408190713785519</v>
      </c>
      <c r="S95" s="23">
        <f>IFERROR(VLOOKUP(P95,[47]conductor_pz_summary_hftd_23_re!$B$2:$Q$3636,14,FALSE),0)</f>
        <v>474</v>
      </c>
      <c r="T95" s="23">
        <f>IFERROR(U95*Q95,0)</f>
        <v>47.487768087276564</v>
      </c>
      <c r="U95" s="23">
        <f>IFERROR(VLOOKUP(P95,[47]conductor_pz_summary_hftd_23_re!$B$2:$Q$3636,13,FALSE),0)</f>
        <v>0.15935492646737101</v>
      </c>
      <c r="V95" s="79">
        <f>IFERROR(VLOOKUP(P95,conductor_pz_summary_hftd_23_re!$B$2:$N$3636,13,FALSE),0)</f>
        <v>1108</v>
      </c>
      <c r="W95" s="65">
        <f>(AJ95*0.67+AK95*0.99+AL95+AM95*0.99)/(SUM(AJ95:AM95))*T95*(F95/R95)</f>
        <v>12.057390994063891</v>
      </c>
      <c r="X95" s="23">
        <v>30</v>
      </c>
      <c r="Y95" s="23" t="s">
        <v>4873</v>
      </c>
      <c r="Z95" s="23" t="s">
        <v>4870</v>
      </c>
      <c r="AA95" s="19" t="s">
        <v>4874</v>
      </c>
      <c r="AB95" s="19" t="s">
        <v>4875</v>
      </c>
      <c r="AC95" s="19" t="s">
        <v>4876</v>
      </c>
      <c r="AD95" s="19" t="s">
        <v>4877</v>
      </c>
      <c r="AE95" s="23">
        <v>5790119</v>
      </c>
      <c r="AF95" s="23" t="s">
        <v>4931</v>
      </c>
      <c r="AG95" s="23">
        <v>118913025</v>
      </c>
      <c r="AH95" s="50" t="s">
        <v>4932</v>
      </c>
      <c r="AI95" s="23" t="s">
        <v>4933</v>
      </c>
      <c r="AJ95" s="23">
        <v>36273.599999999999</v>
      </c>
      <c r="AK95" s="23">
        <v>12566</v>
      </c>
      <c r="AL95" s="23">
        <v>0</v>
      </c>
      <c r="AM95" s="23">
        <v>0</v>
      </c>
      <c r="AN95" s="51" t="s">
        <v>5418</v>
      </c>
      <c r="AO95" s="40" t="s">
        <v>4934</v>
      </c>
      <c r="AP95" s="23">
        <v>48840</v>
      </c>
      <c r="AQ95" s="41">
        <v>9.25</v>
      </c>
      <c r="AR95" s="42">
        <v>13481516</v>
      </c>
      <c r="AS95" s="54">
        <v>44098</v>
      </c>
      <c r="AT95" s="19">
        <v>0</v>
      </c>
      <c r="AU95" s="19">
        <f>2.38*5280</f>
        <v>12566.4</v>
      </c>
      <c r="AV95" s="19">
        <f>6.87*5280</f>
        <v>36273.599999999999</v>
      </c>
      <c r="AW95" s="23">
        <f>SUM(AT95:AV95)</f>
        <v>48840</v>
      </c>
      <c r="AX95" s="41">
        <f>AW95/5280</f>
        <v>9.25</v>
      </c>
      <c r="AY95" s="44">
        <v>20851272.727272727</v>
      </c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3" s="19" customFormat="1" x14ac:dyDescent="0.25">
      <c r="A96" s="47">
        <v>35192292</v>
      </c>
      <c r="B96" s="64" t="s">
        <v>5558</v>
      </c>
      <c r="C96" s="23">
        <v>9</v>
      </c>
      <c r="D96" s="23" t="s">
        <v>4871</v>
      </c>
      <c r="E96" s="110">
        <v>2021041</v>
      </c>
      <c r="F96" s="23">
        <v>3.75</v>
      </c>
      <c r="G96" s="37">
        <f>F96-K96</f>
        <v>3.75</v>
      </c>
      <c r="H96" s="20">
        <v>2021</v>
      </c>
      <c r="I96" s="37"/>
      <c r="J96" s="37"/>
      <c r="K96" s="37">
        <f>SUM(I96:J96)</f>
        <v>0</v>
      </c>
      <c r="L96" s="21">
        <v>2449.4699999999998</v>
      </c>
      <c r="M96" s="23" t="s">
        <v>4880</v>
      </c>
      <c r="N96" s="22">
        <v>42561107</v>
      </c>
      <c r="O96" s="19" t="s">
        <v>1571</v>
      </c>
      <c r="P96" s="23" t="s">
        <v>1572</v>
      </c>
      <c r="Q96" s="38">
        <f>IFERROR(VLOOKUP(P96,[47]conductor_pz_summary_hftd_23_re!$B$2:$Q$3636,8,FALSE),0)</f>
        <v>169</v>
      </c>
      <c r="R96" s="38">
        <f>IFERROR(VLOOKUP(P96,[48]conductor_pz_summary_hftd_23_re!$B$2:$H$3636,7,0),0)/1609</f>
        <v>17.438579305421875</v>
      </c>
      <c r="S96" s="23">
        <f>IFERROR(VLOOKUP(P96,[47]conductor_pz_summary_hftd_23_re!$B$2:$Q$3636,14,FALSE),0)</f>
        <v>637</v>
      </c>
      <c r="T96" s="23">
        <f>IFERROR(U96*Q96,0)</f>
        <v>20.566094932518602</v>
      </c>
      <c r="U96" s="23">
        <f>IFERROR(VLOOKUP(P96,[47]conductor_pz_summary_hftd_23_re!$B$2:$Q$3636,13,FALSE),0)</f>
        <v>0.12169286942318699</v>
      </c>
      <c r="V96" s="79">
        <f>IFERROR(VLOOKUP(P96,conductor_pz_summary_hftd_23_re!$B$2:$N$3636,13,FALSE),0)</f>
        <v>641</v>
      </c>
      <c r="W96" s="65">
        <f>(AJ96*0.67+AK96*0.99+AL96+AM96*0.99)/(SUM(AJ96:AM96))*T96*(F96/R96)</f>
        <v>3.3259838569344429</v>
      </c>
      <c r="X96" s="23">
        <v>225</v>
      </c>
      <c r="Y96" s="23" t="s">
        <v>4873</v>
      </c>
      <c r="Z96" s="23" t="s">
        <v>4870</v>
      </c>
      <c r="AA96" s="19" t="s">
        <v>4944</v>
      </c>
      <c r="AB96" s="19" t="s">
        <v>4945</v>
      </c>
      <c r="AC96" s="19" t="s">
        <v>4945</v>
      </c>
      <c r="AD96" s="19" t="s">
        <v>4877</v>
      </c>
      <c r="AE96" s="23">
        <v>5792094</v>
      </c>
      <c r="AF96" s="23" t="s">
        <v>4946</v>
      </c>
      <c r="AG96" s="23">
        <v>119556108</v>
      </c>
      <c r="AH96" s="48" t="s">
        <v>4947</v>
      </c>
      <c r="AI96" s="23" t="s">
        <v>4948</v>
      </c>
      <c r="AJ96" s="23">
        <v>15593</v>
      </c>
      <c r="AK96" s="23">
        <v>5377</v>
      </c>
      <c r="AL96" s="23">
        <v>0</v>
      </c>
      <c r="AM96" s="23">
        <v>0</v>
      </c>
      <c r="AN96" s="51" t="s">
        <v>5421</v>
      </c>
      <c r="AO96" s="40" t="s">
        <v>5420</v>
      </c>
      <c r="AP96" s="23">
        <f>AQ96*5280</f>
        <v>19800</v>
      </c>
      <c r="AQ96" s="41">
        <v>3.75</v>
      </c>
      <c r="AR96" s="42">
        <v>4686150</v>
      </c>
      <c r="AS96" s="49" t="s">
        <v>4887</v>
      </c>
      <c r="AU96" s="19">
        <v>5377</v>
      </c>
      <c r="AV96" s="19">
        <v>15593</v>
      </c>
      <c r="AW96" s="23">
        <f>SUM(AT96:AV96)</f>
        <v>20970</v>
      </c>
      <c r="AX96" s="41">
        <f>AW96/5280</f>
        <v>3.9715909090909092</v>
      </c>
      <c r="AZ96" s="23"/>
      <c r="BA96" s="23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55">
        <v>35174501</v>
      </c>
      <c r="B97" s="64" t="s">
        <v>5558</v>
      </c>
      <c r="C97" s="23">
        <v>9</v>
      </c>
      <c r="D97" s="23" t="s">
        <v>4871</v>
      </c>
      <c r="E97" s="110">
        <v>2021042</v>
      </c>
      <c r="F97" s="23">
        <v>9.65</v>
      </c>
      <c r="G97" s="37">
        <f>F97-K97</f>
        <v>9.65</v>
      </c>
      <c r="H97" s="20">
        <v>2021</v>
      </c>
      <c r="I97" s="37"/>
      <c r="J97" s="37"/>
      <c r="K97" s="37">
        <f>SUM(I97:J97)</f>
        <v>0</v>
      </c>
      <c r="L97" s="21">
        <v>10730.63</v>
      </c>
      <c r="M97" s="23" t="s">
        <v>4880</v>
      </c>
      <c r="N97" s="22">
        <v>43141101</v>
      </c>
      <c r="O97" s="19" t="s">
        <v>2411</v>
      </c>
      <c r="P97" s="23" t="s">
        <v>2418</v>
      </c>
      <c r="Q97" s="38">
        <f>IFERROR(VLOOKUP(P97,[47]conductor_pz_summary_hftd_23_re!$B$2:$Q$3636,8,FALSE),0)</f>
        <v>298</v>
      </c>
      <c r="R97" s="38">
        <f>IFERROR(VLOOKUP(P97,[48]conductor_pz_summary_hftd_23_re!$B$2:$H$3636,7,0),0)/1609</f>
        <v>27.408190713785519</v>
      </c>
      <c r="S97" s="23">
        <f>IFERROR(VLOOKUP(P97,[47]conductor_pz_summary_hftd_23_re!$B$2:$Q$3636,14,FALSE),0)</f>
        <v>474</v>
      </c>
      <c r="T97" s="23">
        <f>IFERROR(U97*Q97,0)</f>
        <v>47.487768087276564</v>
      </c>
      <c r="U97" s="23">
        <f>IFERROR(VLOOKUP(P97,[47]conductor_pz_summary_hftd_23_re!$B$2:$Q$3636,13,FALSE),0)</f>
        <v>0.15935492646737101</v>
      </c>
      <c r="V97" s="79">
        <f>IFERROR(VLOOKUP(P97,conductor_pz_summary_hftd_23_re!$B$2:$N$3636,13,FALSE),0)</f>
        <v>1108</v>
      </c>
      <c r="W97" s="65">
        <f>(AJ97*0.67+AK97*0.99+AL97+AM97*0.99)/(SUM(AJ97:AM97))*T97*(F97/R97)</f>
        <v>14.392501738262574</v>
      </c>
      <c r="X97" s="23">
        <v>30</v>
      </c>
      <c r="Y97" s="23" t="s">
        <v>4873</v>
      </c>
      <c r="Z97" s="23" t="s">
        <v>4870</v>
      </c>
      <c r="AA97" s="19" t="s">
        <v>4874</v>
      </c>
      <c r="AB97" s="19" t="s">
        <v>4875</v>
      </c>
      <c r="AC97" s="19" t="s">
        <v>4876</v>
      </c>
      <c r="AD97" s="19" t="s">
        <v>4877</v>
      </c>
      <c r="AE97" s="23">
        <v>5790112</v>
      </c>
      <c r="AF97" s="23" t="s">
        <v>4935</v>
      </c>
      <c r="AG97" s="23">
        <v>118913026</v>
      </c>
      <c r="AH97" s="50" t="s">
        <v>4936</v>
      </c>
      <c r="AI97" s="23" t="s">
        <v>4937</v>
      </c>
      <c r="AJ97" s="23">
        <v>27609.1</v>
      </c>
      <c r="AK97" s="23">
        <v>23348</v>
      </c>
      <c r="AL97" s="23">
        <v>16177.9</v>
      </c>
      <c r="AM97" s="23">
        <v>0</v>
      </c>
      <c r="AN97" s="51" t="s">
        <v>4938</v>
      </c>
      <c r="AO97" s="40" t="s">
        <v>4939</v>
      </c>
      <c r="AP97" s="23">
        <v>50952</v>
      </c>
      <c r="AQ97" s="41">
        <v>9.65</v>
      </c>
      <c r="AR97" s="42">
        <v>16768361</v>
      </c>
      <c r="AS97" s="54">
        <v>44098</v>
      </c>
      <c r="AT97" s="19">
        <f>3.064*5280</f>
        <v>16177.92</v>
      </c>
      <c r="AU97" s="19">
        <f>4.422*5280</f>
        <v>23348.16</v>
      </c>
      <c r="AV97" s="19">
        <f>5.229*5280</f>
        <v>27609.119999999999</v>
      </c>
      <c r="AW97" s="23">
        <f>SUM(AT97:AV97)</f>
        <v>67135.199999999997</v>
      </c>
      <c r="AX97" s="41">
        <f>AW97/5280</f>
        <v>12.715</v>
      </c>
      <c r="AY97" s="44">
        <v>18931272.727272727</v>
      </c>
      <c r="AZ97" s="23"/>
      <c r="BA97" s="23"/>
      <c r="BB97" s="23"/>
      <c r="BC97" s="23"/>
      <c r="BD97" s="23"/>
      <c r="BE97" s="23"/>
      <c r="BF97" s="41"/>
      <c r="BG97" s="45"/>
      <c r="BH97" s="42"/>
      <c r="BI97" s="46"/>
    </row>
    <row r="98" spans="1:67" s="19" customFormat="1" x14ac:dyDescent="0.25">
      <c r="A98" s="47">
        <v>35191318</v>
      </c>
      <c r="B98" s="64" t="s">
        <v>5558</v>
      </c>
      <c r="C98" s="23">
        <v>9</v>
      </c>
      <c r="D98" s="23" t="s">
        <v>4871</v>
      </c>
      <c r="E98" s="110">
        <v>2021043</v>
      </c>
      <c r="F98" s="23">
        <v>1.78</v>
      </c>
      <c r="G98" s="37">
        <f>F98-K98</f>
        <v>1.78</v>
      </c>
      <c r="H98" s="20">
        <v>2021</v>
      </c>
      <c r="I98" s="37"/>
      <c r="J98" s="37"/>
      <c r="K98" s="37">
        <f>SUM(I98:J98)</f>
        <v>0</v>
      </c>
      <c r="L98" s="21">
        <v>4167.82</v>
      </c>
      <c r="M98" s="23" t="s">
        <v>4880</v>
      </c>
      <c r="N98" s="22">
        <v>43432102</v>
      </c>
      <c r="O98" s="19" t="s">
        <v>4042</v>
      </c>
      <c r="P98" s="23" t="s">
        <v>4045</v>
      </c>
      <c r="Q98" s="38">
        <f>IFERROR(VLOOKUP(P98,[47]conductor_pz_summary_hftd_23_re!$B$2:$Q$3636,8,FALSE),0)</f>
        <v>125</v>
      </c>
      <c r="R98" s="38">
        <f>IFERROR(VLOOKUP(P98,[48]conductor_pz_summary_hftd_23_re!$B$2:$H$3636,7,0),0)/1609</f>
        <v>15.221711484448974</v>
      </c>
      <c r="S98" s="23">
        <f>IFERROR(VLOOKUP(P98,[47]conductor_pz_summary_hftd_23_re!$B$2:$Q$3636,14,FALSE),0)</f>
        <v>663</v>
      </c>
      <c r="T98" s="23">
        <f>IFERROR(U98*Q98,0)</f>
        <v>14.624900446767001</v>
      </c>
      <c r="U98" s="23">
        <f>IFERROR(VLOOKUP(P98,[47]conductor_pz_summary_hftd_23_re!$B$2:$Q$3636,13,FALSE),0)</f>
        <v>0.116999203574136</v>
      </c>
      <c r="V98" s="79">
        <f>IFERROR(VLOOKUP(P98,conductor_pz_summary_hftd_23_re!$B$2:$N$3636,13,FALSE),0)</f>
        <v>627</v>
      </c>
      <c r="W98" s="65">
        <f>(AJ98*0.67+AK98*0.99+AL98+AM98*0.99)/(SUM(AJ98:AM98))*T98*(F98/R98)</f>
        <v>1.1458406822802629</v>
      </c>
      <c r="X98" s="23">
        <v>250</v>
      </c>
      <c r="Y98" s="23" t="s">
        <v>4873</v>
      </c>
      <c r="Z98" s="23" t="s">
        <v>4870</v>
      </c>
      <c r="AA98" s="19" t="s">
        <v>4949</v>
      </c>
      <c r="AB98" s="19" t="s">
        <v>4902</v>
      </c>
      <c r="AC98" s="19" t="s">
        <v>4883</v>
      </c>
      <c r="AD98" s="19" t="s">
        <v>4903</v>
      </c>
      <c r="AE98" s="23">
        <v>5541303</v>
      </c>
      <c r="AF98" s="23" t="s">
        <v>4953</v>
      </c>
      <c r="AG98" s="23">
        <v>119518390</v>
      </c>
      <c r="AH98" s="48" t="s">
        <v>4954</v>
      </c>
      <c r="AI98" s="23" t="s">
        <v>4955</v>
      </c>
      <c r="AJ98" s="23">
        <v>9398.4</v>
      </c>
      <c r="AK98" s="23">
        <v>0</v>
      </c>
      <c r="AL98" s="23">
        <v>0</v>
      </c>
      <c r="AM98" s="23">
        <v>0</v>
      </c>
      <c r="AN98" s="98" t="s">
        <v>5424</v>
      </c>
      <c r="AO98" s="40" t="s">
        <v>5423</v>
      </c>
      <c r="AP98" s="23">
        <f>AQ98*5280</f>
        <v>9398.4</v>
      </c>
      <c r="AQ98" s="41">
        <v>1.78</v>
      </c>
      <c r="AR98" s="42">
        <v>1685400</v>
      </c>
      <c r="AS98" s="49" t="s">
        <v>4887</v>
      </c>
      <c r="AW98" s="23">
        <f>SUM(AT98:AV98)</f>
        <v>0</v>
      </c>
      <c r="AX98" s="41">
        <f>AW98/5280</f>
        <v>0</v>
      </c>
      <c r="AY98" s="44"/>
      <c r="AZ98" s="23"/>
      <c r="BA98" s="23"/>
      <c r="BB98" s="23"/>
      <c r="BC98" s="23"/>
      <c r="BD98" s="23"/>
      <c r="BE98" s="23"/>
      <c r="BF98" s="41"/>
      <c r="BG98" s="45"/>
      <c r="BH98" s="42"/>
      <c r="BI98" s="46"/>
    </row>
    <row r="99" spans="1:67" s="19" customFormat="1" x14ac:dyDescent="0.25">
      <c r="A99" s="47">
        <v>35174478</v>
      </c>
      <c r="B99" s="64" t="s">
        <v>5558</v>
      </c>
      <c r="C99" s="23">
        <v>9</v>
      </c>
      <c r="D99" s="23" t="s">
        <v>4871</v>
      </c>
      <c r="E99" s="110">
        <v>2021044</v>
      </c>
      <c r="F99" s="37">
        <v>4.07</v>
      </c>
      <c r="G99" s="37">
        <f>F99-K99</f>
        <v>4.07</v>
      </c>
      <c r="H99" s="20">
        <v>2021</v>
      </c>
      <c r="I99" s="37"/>
      <c r="J99" s="37"/>
      <c r="K99" s="37">
        <f>SUM(I99:J99)</f>
        <v>0</v>
      </c>
      <c r="L99" s="21">
        <v>0</v>
      </c>
      <c r="M99" s="23" t="s">
        <v>4880</v>
      </c>
      <c r="N99" s="22">
        <v>43141101</v>
      </c>
      <c r="O99" s="19" t="s">
        <v>2411</v>
      </c>
      <c r="P99" s="23" t="s">
        <v>2418</v>
      </c>
      <c r="Q99" s="38">
        <f>IFERROR(VLOOKUP(P99,[47]conductor_pz_summary_hftd_23_re!$B$2:$Q$3636,8,FALSE),0)</f>
        <v>298</v>
      </c>
      <c r="R99" s="38">
        <f>IFERROR(VLOOKUP(P99,[48]conductor_pz_summary_hftd_23_re!$B$2:$H$3636,7,0),0)/1609</f>
        <v>27.408190713785519</v>
      </c>
      <c r="S99" s="23">
        <f>IFERROR(VLOOKUP(P99,[47]conductor_pz_summary_hftd_23_re!$B$2:$Q$3636,14,FALSE),0)</f>
        <v>474</v>
      </c>
      <c r="T99" s="23">
        <f>IFERROR(U99*Q99,0)</f>
        <v>47.487768087276564</v>
      </c>
      <c r="U99" s="23">
        <f>IFERROR(VLOOKUP(P99,[47]conductor_pz_summary_hftd_23_re!$B$2:$Q$3636,13,FALSE),0)</f>
        <v>0.15935492646737101</v>
      </c>
      <c r="V99" s="79">
        <f>IFERROR(VLOOKUP(P99,conductor_pz_summary_hftd_23_re!$B$2:$N$3636,13,FALSE),0)</f>
        <v>1108</v>
      </c>
      <c r="W99" s="65">
        <f>(AJ99*0.67+AK99*0.99+AL99+AM99*0.99)/(SUM(AJ99:AM99))*T99*(F99/R99)</f>
        <v>5.4342846643732114</v>
      </c>
      <c r="X99" s="23">
        <v>30</v>
      </c>
      <c r="Y99" s="23" t="s">
        <v>4873</v>
      </c>
      <c r="Z99" s="23" t="s">
        <v>4870</v>
      </c>
      <c r="AA99" s="19" t="s">
        <v>4874</v>
      </c>
      <c r="AB99" s="19" t="s">
        <v>4875</v>
      </c>
      <c r="AC99" s="19" t="s">
        <v>4876</v>
      </c>
      <c r="AD99" s="19" t="s">
        <v>4877</v>
      </c>
      <c r="AE99" s="23">
        <v>5790111</v>
      </c>
      <c r="AF99" s="23" t="s">
        <v>4927</v>
      </c>
      <c r="AG99" s="23">
        <v>118913024</v>
      </c>
      <c r="AH99" s="47">
        <v>35174478</v>
      </c>
      <c r="AI99" s="23" t="s">
        <v>4928</v>
      </c>
      <c r="AJ99" s="23">
        <v>17534.900000000001</v>
      </c>
      <c r="AK99" s="23">
        <v>3933.6</v>
      </c>
      <c r="AL99" s="23">
        <v>3931</v>
      </c>
      <c r="AM99" s="23">
        <v>0</v>
      </c>
      <c r="AN99" s="51" t="s">
        <v>4929</v>
      </c>
      <c r="AO99" s="40" t="s">
        <v>4930</v>
      </c>
      <c r="AP99" s="23">
        <f>AQ99*5280</f>
        <v>21489.600000000002</v>
      </c>
      <c r="AQ99" s="41">
        <v>4.07</v>
      </c>
      <c r="AR99" s="42">
        <v>6162189</v>
      </c>
      <c r="AS99" s="54">
        <v>44098</v>
      </c>
      <c r="AT99" s="19">
        <v>3931</v>
      </c>
      <c r="AU99" s="19">
        <f>0.745*5280</f>
        <v>3933.6</v>
      </c>
      <c r="AV99" s="19">
        <f>3.321*5280</f>
        <v>17534.88</v>
      </c>
      <c r="AW99" s="23">
        <f>SUM(AT99:AV99)</f>
        <v>25399.480000000003</v>
      </c>
      <c r="AX99" s="41">
        <f>AW99/5280</f>
        <v>4.8105075757575761</v>
      </c>
      <c r="AY99" s="44">
        <v>12326545.454545455</v>
      </c>
      <c r="AZ99" s="23"/>
      <c r="BA99" s="23"/>
      <c r="BB99" s="23"/>
      <c r="BC99" s="23"/>
      <c r="BD99" s="23"/>
      <c r="BE99" s="23"/>
      <c r="BF99" s="41"/>
      <c r="BG99" s="45"/>
      <c r="BH99" s="42"/>
      <c r="BI99" s="46"/>
    </row>
    <row r="100" spans="1:67" s="19" customFormat="1" x14ac:dyDescent="0.25">
      <c r="A100" s="47">
        <v>35191383</v>
      </c>
      <c r="B100" s="64" t="s">
        <v>5558</v>
      </c>
      <c r="C100" s="23">
        <v>9</v>
      </c>
      <c r="D100" s="23" t="s">
        <v>4871</v>
      </c>
      <c r="E100" s="110">
        <v>2021045</v>
      </c>
      <c r="F100" s="23">
        <v>1.22</v>
      </c>
      <c r="G100" s="37">
        <f>F100-K100</f>
        <v>1.22</v>
      </c>
      <c r="H100" s="20">
        <v>2021</v>
      </c>
      <c r="I100" s="37"/>
      <c r="J100" s="37"/>
      <c r="K100" s="37">
        <f>SUM(I100:J100)</f>
        <v>0</v>
      </c>
      <c r="L100" s="21">
        <v>1636.1</v>
      </c>
      <c r="M100" s="23" t="s">
        <v>4880</v>
      </c>
      <c r="N100" s="56">
        <v>43432102</v>
      </c>
      <c r="O100" s="19" t="s">
        <v>4042</v>
      </c>
      <c r="P100" s="23" t="s">
        <v>4045</v>
      </c>
      <c r="Q100" s="38">
        <f>IFERROR(VLOOKUP(P100,[47]conductor_pz_summary_hftd_23_re!$B$2:$Q$3636,8,FALSE),0)</f>
        <v>125</v>
      </c>
      <c r="R100" s="38">
        <f>IFERROR(VLOOKUP(P100,[48]conductor_pz_summary_hftd_23_re!$B$2:$H$3636,7,0),0)/1609</f>
        <v>15.221711484448974</v>
      </c>
      <c r="S100" s="23">
        <f>IFERROR(VLOOKUP(P100,[47]conductor_pz_summary_hftd_23_re!$B$2:$Q$3636,14,FALSE),0)</f>
        <v>663</v>
      </c>
      <c r="T100" s="23">
        <f>IFERROR(U100*Q100,0)</f>
        <v>14.624900446767001</v>
      </c>
      <c r="U100" s="23">
        <f>IFERROR(VLOOKUP(P100,[47]conductor_pz_summary_hftd_23_re!$B$2:$Q$3636,13,FALSE),0)</f>
        <v>0.116999203574136</v>
      </c>
      <c r="V100" s="79">
        <f>IFERROR(VLOOKUP(P100,conductor_pz_summary_hftd_23_re!$B$2:$N$3636,13,FALSE),0)</f>
        <v>627</v>
      </c>
      <c r="W100" s="65">
        <f>(AJ100*0.67+AK100*0.99+AL100+AM100*0.99)/(SUM(AJ100:AM100))*T100*(F100/R100)</f>
        <v>0.78535147886624757</v>
      </c>
      <c r="X100" s="23">
        <v>250</v>
      </c>
      <c r="Y100" s="23" t="s">
        <v>4873</v>
      </c>
      <c r="Z100" s="23" t="s">
        <v>4870</v>
      </c>
      <c r="AA100" s="19" t="s">
        <v>4949</v>
      </c>
      <c r="AB100" s="19" t="s">
        <v>4902</v>
      </c>
      <c r="AC100" s="19" t="s">
        <v>4883</v>
      </c>
      <c r="AD100" s="19" t="s">
        <v>4903</v>
      </c>
      <c r="AE100" s="23">
        <v>5541309</v>
      </c>
      <c r="AF100" s="23" t="s">
        <v>4950</v>
      </c>
      <c r="AG100" s="23">
        <v>119518528</v>
      </c>
      <c r="AH100" s="48" t="s">
        <v>4951</v>
      </c>
      <c r="AI100" s="23" t="s">
        <v>4952</v>
      </c>
      <c r="AJ100" s="23">
        <v>6438</v>
      </c>
      <c r="AK100" s="23">
        <v>0</v>
      </c>
      <c r="AL100" s="23">
        <v>0</v>
      </c>
      <c r="AM100" s="23">
        <v>0</v>
      </c>
      <c r="AO100" s="40" t="s">
        <v>5422</v>
      </c>
      <c r="AP100" s="23">
        <f>AQ100*5280</f>
        <v>6441.5999999999995</v>
      </c>
      <c r="AQ100" s="41">
        <v>1.22</v>
      </c>
      <c r="AR100" s="42">
        <v>1143750</v>
      </c>
      <c r="AS100" s="49" t="s">
        <v>4887</v>
      </c>
      <c r="AW100" s="23">
        <f>SUM(AT100:AV100)</f>
        <v>0</v>
      </c>
      <c r="AX100" s="41">
        <f>AW100/5280</f>
        <v>0</v>
      </c>
      <c r="AZ100" s="23"/>
      <c r="BA100" s="23"/>
      <c r="BB100" s="23"/>
      <c r="BC100" s="23"/>
      <c r="BD100" s="23"/>
      <c r="BE100" s="23"/>
      <c r="BF100" s="41"/>
      <c r="BG100" s="45"/>
      <c r="BH100" s="42"/>
      <c r="BI100" s="46"/>
    </row>
    <row r="101" spans="1:67" s="19" customFormat="1" x14ac:dyDescent="0.25">
      <c r="A101" s="47">
        <v>35192290</v>
      </c>
      <c r="B101" s="106" t="s">
        <v>4870</v>
      </c>
      <c r="C101" s="23">
        <v>7</v>
      </c>
      <c r="D101" s="23" t="s">
        <v>4871</v>
      </c>
      <c r="E101" s="110">
        <v>2021046</v>
      </c>
      <c r="F101" s="23">
        <v>5</v>
      </c>
      <c r="G101" s="37">
        <f>F101-K101</f>
        <v>5</v>
      </c>
      <c r="H101" s="20">
        <v>2021</v>
      </c>
      <c r="I101" s="37"/>
      <c r="J101" s="37"/>
      <c r="K101" s="37">
        <f>SUM(I101:J101)</f>
        <v>0</v>
      </c>
      <c r="L101" s="21">
        <v>1956.63</v>
      </c>
      <c r="M101" s="23" t="s">
        <v>4880</v>
      </c>
      <c r="N101" s="22">
        <v>152261107</v>
      </c>
      <c r="O101" s="19" t="s">
        <v>1163</v>
      </c>
      <c r="P101" s="23" t="s">
        <v>1164</v>
      </c>
      <c r="Q101" s="38">
        <f>IFERROR(VLOOKUP(P101,[47]conductor_pz_summary_hftd_23_re!$B$2:$Q$3636,8,FALSE),0)</f>
        <v>541</v>
      </c>
      <c r="R101" s="38">
        <f>IFERROR(VLOOKUP(P101,[48]conductor_pz_summary_hftd_23_re!$B$2:$H$3636,7,0),0)/1609</f>
        <v>44.191450064789123</v>
      </c>
      <c r="S101" s="23">
        <f>IFERROR(VLOOKUP(P101,[47]conductor_pz_summary_hftd_23_re!$B$2:$Q$3636,14,FALSE),0)</f>
        <v>811</v>
      </c>
      <c r="T101" s="23">
        <f>IFERROR(U101*Q101,0)</f>
        <v>49.924029963004408</v>
      </c>
      <c r="U101" s="23">
        <f>IFERROR(VLOOKUP(P101,[47]conductor_pz_summary_hftd_23_re!$B$2:$Q$3636,13,FALSE),0)</f>
        <v>9.2281016567475796E-2</v>
      </c>
      <c r="V101" s="79">
        <f>IFERROR(VLOOKUP(P101,conductor_pz_summary_hftd_23_re!$B$2:$N$3636,13,FALSE),0)</f>
        <v>726</v>
      </c>
      <c r="W101" s="65">
        <f>(AJ101*0.67+AK101*0.99+AL101+AM101*0.99)/(SUM(AJ101:AM101))*T101*(F101/R101)</f>
        <v>3.7845669271061708</v>
      </c>
      <c r="X101" s="23">
        <v>244</v>
      </c>
      <c r="Y101" s="23" t="s">
        <v>4873</v>
      </c>
      <c r="Z101" s="23" t="s">
        <v>4870</v>
      </c>
      <c r="AA101" s="19" t="s">
        <v>5077</v>
      </c>
      <c r="AB101" s="19" t="s">
        <v>4890</v>
      </c>
      <c r="AC101" s="19" t="s">
        <v>4891</v>
      </c>
      <c r="AD101" s="19" t="s">
        <v>4877</v>
      </c>
      <c r="AE101" s="23">
        <v>5792092</v>
      </c>
      <c r="AF101" s="23" t="s">
        <v>5078</v>
      </c>
      <c r="AG101" s="23">
        <v>119556075</v>
      </c>
      <c r="AH101" s="48" t="s">
        <v>5079</v>
      </c>
      <c r="AI101" s="23" t="s">
        <v>5080</v>
      </c>
      <c r="AJ101" s="23">
        <v>26402</v>
      </c>
      <c r="AK101" s="23">
        <v>0</v>
      </c>
      <c r="AL101" s="23">
        <v>0</v>
      </c>
      <c r="AM101" s="23">
        <v>0</v>
      </c>
      <c r="AO101" s="40" t="s">
        <v>5425</v>
      </c>
      <c r="AP101" s="23">
        <f>AQ101*5280</f>
        <v>26400</v>
      </c>
      <c r="AQ101" s="41">
        <v>5</v>
      </c>
      <c r="AR101" s="42">
        <v>5575214</v>
      </c>
      <c r="AS101" s="49" t="s">
        <v>4887</v>
      </c>
      <c r="AW101" s="23">
        <f>SUM(AT101:AV101)</f>
        <v>0</v>
      </c>
      <c r="AX101" s="41">
        <f>AW101/5280</f>
        <v>0</v>
      </c>
      <c r="AZ101" s="79"/>
      <c r="BA101" s="79"/>
      <c r="BB101" s="23"/>
      <c r="BC101" s="23"/>
      <c r="BD101" s="23"/>
      <c r="BE101" s="23"/>
      <c r="BF101" s="41"/>
      <c r="BG101" s="45"/>
      <c r="BH101" s="42"/>
      <c r="BI101" s="46"/>
    </row>
    <row r="102" spans="1:67" s="19" customFormat="1" x14ac:dyDescent="0.25">
      <c r="A102" s="47">
        <v>35192291</v>
      </c>
      <c r="B102" s="106" t="s">
        <v>4870</v>
      </c>
      <c r="C102" s="23">
        <v>7</v>
      </c>
      <c r="D102" s="23" t="s">
        <v>4871</v>
      </c>
      <c r="E102" s="110">
        <v>2021047</v>
      </c>
      <c r="F102" s="23">
        <v>3.1</v>
      </c>
      <c r="G102" s="37">
        <f>F102-K102</f>
        <v>3.1</v>
      </c>
      <c r="H102" s="20">
        <v>2021</v>
      </c>
      <c r="I102" s="37"/>
      <c r="J102" s="37"/>
      <c r="K102" s="37">
        <f>SUM(I102:J102)</f>
        <v>0</v>
      </c>
      <c r="L102" s="21">
        <v>1742.96</v>
      </c>
      <c r="M102" s="23" t="s">
        <v>4880</v>
      </c>
      <c r="N102" s="22">
        <v>152261107</v>
      </c>
      <c r="O102" s="19" t="s">
        <v>1163</v>
      </c>
      <c r="P102" s="23" t="s">
        <v>1164</v>
      </c>
      <c r="Q102" s="38">
        <f>IFERROR(VLOOKUP(P102,[47]conductor_pz_summary_hftd_23_re!$B$2:$Q$3636,8,FALSE),0)</f>
        <v>541</v>
      </c>
      <c r="R102" s="38">
        <f>IFERROR(VLOOKUP(P102,[48]conductor_pz_summary_hftd_23_re!$B$2:$H$3636,7,0),0)/1609</f>
        <v>44.191450064789123</v>
      </c>
      <c r="S102" s="23">
        <f>IFERROR(VLOOKUP(P102,[47]conductor_pz_summary_hftd_23_re!$B$2:$Q$3636,14,FALSE),0)</f>
        <v>811</v>
      </c>
      <c r="T102" s="23">
        <f>IFERROR(U102*Q102,0)</f>
        <v>49.924029963004408</v>
      </c>
      <c r="U102" s="23">
        <f>IFERROR(VLOOKUP(P102,[47]conductor_pz_summary_hftd_23_re!$B$2:$Q$3636,13,FALSE),0)</f>
        <v>9.2281016567475796E-2</v>
      </c>
      <c r="V102" s="79">
        <f>IFERROR(VLOOKUP(P102,conductor_pz_summary_hftd_23_re!$B$2:$N$3636,13,FALSE),0)</f>
        <v>726</v>
      </c>
      <c r="W102" s="65">
        <f>(AJ102*0.67+AK102*0.99+AL102+AM102*0.99)/(SUM(AJ102:AM102))*T102*(F102/R102)</f>
        <v>2.346431494805826</v>
      </c>
      <c r="X102" s="23">
        <v>244</v>
      </c>
      <c r="Y102" s="23" t="s">
        <v>4873</v>
      </c>
      <c r="Z102" s="23" t="s">
        <v>4870</v>
      </c>
      <c r="AA102" s="19" t="s">
        <v>5077</v>
      </c>
      <c r="AB102" s="19" t="s">
        <v>4890</v>
      </c>
      <c r="AC102" s="19" t="s">
        <v>4891</v>
      </c>
      <c r="AD102" s="19" t="s">
        <v>4877</v>
      </c>
      <c r="AE102" s="23">
        <v>5792093</v>
      </c>
      <c r="AF102" s="23" t="s">
        <v>5113</v>
      </c>
      <c r="AG102" s="23">
        <v>119556091</v>
      </c>
      <c r="AH102" s="48" t="s">
        <v>5114</v>
      </c>
      <c r="AI102" s="23" t="s">
        <v>5115</v>
      </c>
      <c r="AJ102" s="23">
        <v>15109</v>
      </c>
      <c r="AK102" s="23">
        <v>0</v>
      </c>
      <c r="AL102" s="23">
        <v>0</v>
      </c>
      <c r="AM102" s="23">
        <v>0</v>
      </c>
      <c r="AO102" s="40" t="s">
        <v>5426</v>
      </c>
      <c r="AP102" s="23">
        <f>AQ102*5280</f>
        <v>15100.8</v>
      </c>
      <c r="AQ102" s="41">
        <v>2.86</v>
      </c>
      <c r="AR102" s="42">
        <v>3208863</v>
      </c>
      <c r="AS102" s="49" t="s">
        <v>4887</v>
      </c>
      <c r="AW102" s="23">
        <f>SUM(AT102:AV102)</f>
        <v>0</v>
      </c>
      <c r="AX102" s="41">
        <f>AW102/5280</f>
        <v>0</v>
      </c>
      <c r="AZ102" s="79"/>
      <c r="BA102" s="79"/>
      <c r="BB102" s="23"/>
      <c r="BC102" s="23"/>
      <c r="BD102" s="23"/>
      <c r="BE102" s="23"/>
      <c r="BF102" s="41"/>
      <c r="BG102" s="45"/>
      <c r="BH102" s="42"/>
      <c r="BI102" s="46"/>
    </row>
    <row r="103" spans="1:67" s="19" customFormat="1" x14ac:dyDescent="0.25">
      <c r="A103" s="47">
        <v>35191937</v>
      </c>
      <c r="B103" s="106" t="s">
        <v>4870</v>
      </c>
      <c r="C103" s="23">
        <v>7</v>
      </c>
      <c r="D103" s="23" t="s">
        <v>4871</v>
      </c>
      <c r="E103" s="110">
        <v>2021048</v>
      </c>
      <c r="F103" s="23">
        <v>3.34</v>
      </c>
      <c r="G103" s="37">
        <f>F103-K103</f>
        <v>3.34</v>
      </c>
      <c r="H103" s="20">
        <v>2021</v>
      </c>
      <c r="I103" s="37"/>
      <c r="J103" s="37"/>
      <c r="K103" s="37">
        <f>SUM(I103:J103)</f>
        <v>0</v>
      </c>
      <c r="L103" s="21">
        <v>3713.28</v>
      </c>
      <c r="M103" s="23" t="s">
        <v>4880</v>
      </c>
      <c r="N103" s="22">
        <v>43292102</v>
      </c>
      <c r="O103" s="19" t="s">
        <v>3441</v>
      </c>
      <c r="P103" s="23" t="s">
        <v>3446</v>
      </c>
      <c r="Q103" s="38">
        <f>IFERROR(VLOOKUP(P103,[47]conductor_pz_summary_hftd_23_re!$B$2:$Q$3636,8,FALSE),0)</f>
        <v>180</v>
      </c>
      <c r="R103" s="38">
        <f>IFERROR(VLOOKUP(P103,[48]conductor_pz_summary_hftd_23_re!$B$2:$H$3636,7,0),0)/1609</f>
        <v>19.340684586360659</v>
      </c>
      <c r="S103" s="23">
        <f>IFERROR(VLOOKUP(P103,[47]conductor_pz_summary_hftd_23_re!$B$2:$Q$3636,14,FALSE),0)</f>
        <v>951</v>
      </c>
      <c r="T103" s="23">
        <f>IFERROR(U103*Q103,0)</f>
        <v>13.210050623204321</v>
      </c>
      <c r="U103" s="23">
        <f>IFERROR(VLOOKUP(P103,[47]conductor_pz_summary_hftd_23_re!$B$2:$Q$3636,13,FALSE),0)</f>
        <v>7.3389170128912898E-2</v>
      </c>
      <c r="V103" s="79">
        <f>IFERROR(VLOOKUP(P103,conductor_pz_summary_hftd_23_re!$B$2:$N$3636,13,FALSE),0)</f>
        <v>1012</v>
      </c>
      <c r="W103" s="65">
        <f>(AJ103*0.67+AK103*0.99+AL103+AM103*0.99)/(SUM(AJ103:AM103))*T103*(F103/R103)</f>
        <v>1.7166115532490969</v>
      </c>
      <c r="X103" s="23">
        <v>40</v>
      </c>
      <c r="Y103" s="23" t="s">
        <v>4873</v>
      </c>
      <c r="Z103" s="23" t="s">
        <v>4870</v>
      </c>
      <c r="AA103" s="19" t="s">
        <v>4914</v>
      </c>
      <c r="AB103" s="19" t="s">
        <v>4902</v>
      </c>
      <c r="AC103" s="19" t="s">
        <v>4883</v>
      </c>
      <c r="AD103" s="19" t="s">
        <v>4903</v>
      </c>
      <c r="AE103" s="23">
        <v>5792064</v>
      </c>
      <c r="AF103" s="23" t="s">
        <v>5116</v>
      </c>
      <c r="AG103" s="23">
        <v>119553837</v>
      </c>
      <c r="AH103" s="48" t="s">
        <v>5117</v>
      </c>
      <c r="AI103" s="52" t="s">
        <v>5118</v>
      </c>
      <c r="AJ103" s="23">
        <v>13092</v>
      </c>
      <c r="AK103" s="52">
        <v>4546</v>
      </c>
      <c r="AL103" s="52">
        <v>0</v>
      </c>
      <c r="AM103" s="52">
        <v>0</v>
      </c>
      <c r="AN103" s="51" t="s">
        <v>5119</v>
      </c>
      <c r="AO103" s="40" t="s">
        <v>5120</v>
      </c>
      <c r="AP103" s="23">
        <f>AQ103*5280</f>
        <v>17635.2</v>
      </c>
      <c r="AQ103" s="41">
        <v>3.34</v>
      </c>
      <c r="AR103" s="42">
        <v>3777700</v>
      </c>
      <c r="AS103" s="49" t="s">
        <v>4887</v>
      </c>
      <c r="AU103" s="19">
        <f>0.86*5280</f>
        <v>4540.8</v>
      </c>
      <c r="AV103" s="19">
        <f>2.48*5280</f>
        <v>13094.4</v>
      </c>
      <c r="AW103" s="23">
        <f>SUM(AT103:AV103)</f>
        <v>17635.2</v>
      </c>
      <c r="AX103" s="41">
        <f>AW103/5280</f>
        <v>3.3400000000000003</v>
      </c>
      <c r="AY103" s="44"/>
      <c r="AZ103" s="23"/>
      <c r="BA103" s="23"/>
      <c r="BB103" s="23"/>
      <c r="BC103" s="23"/>
      <c r="BD103" s="23"/>
      <c r="BE103" s="23"/>
      <c r="BF103" s="41"/>
      <c r="BG103" s="45"/>
      <c r="BH103" s="42"/>
      <c r="BI103" s="46"/>
    </row>
    <row r="104" spans="1:67" s="19" customFormat="1" x14ac:dyDescent="0.25">
      <c r="A104" s="65">
        <v>35219093</v>
      </c>
      <c r="B104" s="106" t="s">
        <v>5556</v>
      </c>
      <c r="C104" s="79">
        <v>6</v>
      </c>
      <c r="D104" s="79" t="s">
        <v>4871</v>
      </c>
      <c r="E104" s="110">
        <v>2021049</v>
      </c>
      <c r="F104" s="79">
        <v>3.67</v>
      </c>
      <c r="G104" s="37">
        <f>F104-K104</f>
        <v>3.67</v>
      </c>
      <c r="H104" s="79">
        <v>2021</v>
      </c>
      <c r="I104" s="65"/>
      <c r="J104" s="65"/>
      <c r="K104" s="37">
        <f>SUM(I104:J104)</f>
        <v>0</v>
      </c>
      <c r="L104" s="21">
        <v>0</v>
      </c>
      <c r="M104" s="79" t="s">
        <v>4880</v>
      </c>
      <c r="N104" s="65">
        <v>14652106</v>
      </c>
      <c r="O104" s="65" t="s">
        <v>4394</v>
      </c>
      <c r="P104" s="79" t="s">
        <v>4393</v>
      </c>
      <c r="Q104" s="38">
        <f>IFERROR(VLOOKUP(P104,[47]conductor_pz_summary_hftd_23_re!$B$2:$Q$3636,8,FALSE),0)</f>
        <v>30</v>
      </c>
      <c r="R104" s="38">
        <f>IFERROR(VLOOKUP(P104,[48]conductor_pz_summary_hftd_23_re!$B$2:$H$3636,7,0),0)/1609</f>
        <v>3.6652030733285454</v>
      </c>
      <c r="S104" s="23">
        <f>IFERROR(VLOOKUP(P104,[47]conductor_pz_summary_hftd_23_re!$B$2:$Q$3636,14,FALSE),0)</f>
        <v>18</v>
      </c>
      <c r="T104" s="23">
        <f>IFERROR(U104*Q104,0)</f>
        <v>19.599357494642337</v>
      </c>
      <c r="U104" s="23">
        <f>IFERROR(VLOOKUP(P104,[47]conductor_pz_summary_hftd_23_re!$B$2:$Q$3636,13,FALSE),0)</f>
        <v>0.65331191648807796</v>
      </c>
      <c r="V104" s="79">
        <f>IFERROR(VLOOKUP(P104,conductor_pz_summary_hftd_23_re!$B$2:$N$3636,13,FALSE),0)</f>
        <v>59</v>
      </c>
      <c r="W104" s="65" t="e">
        <f>(AJ104*0.67+AK104*0.99+AL104+AM104*0.99)/(SUM(AJ104:AM104))*T104*(F104/R104)</f>
        <v>#DIV/0!</v>
      </c>
      <c r="X104" s="65"/>
      <c r="Y104" s="65"/>
      <c r="Z104" s="79" t="s">
        <v>5330</v>
      </c>
      <c r="AA104" s="101" t="s">
        <v>4916</v>
      </c>
      <c r="AB104" s="65" t="s">
        <v>4917</v>
      </c>
      <c r="AC104" s="65" t="s">
        <v>4918</v>
      </c>
      <c r="AD104" s="65" t="s">
        <v>4903</v>
      </c>
      <c r="AE104" s="65">
        <v>5794540</v>
      </c>
      <c r="AF104" s="79" t="s">
        <v>5439</v>
      </c>
      <c r="AG104" s="79">
        <v>120141622</v>
      </c>
      <c r="AH104" s="79">
        <v>35219093</v>
      </c>
      <c r="AI104" s="79" t="s">
        <v>5337</v>
      </c>
      <c r="AJ104" s="65"/>
      <c r="AK104" s="65"/>
      <c r="AL104" s="65"/>
      <c r="AM104" s="65"/>
      <c r="AN104" s="65"/>
      <c r="AO104" s="51" t="s">
        <v>5633</v>
      </c>
      <c r="AP104" s="80">
        <f>AQ104*5280</f>
        <v>25396.799999999999</v>
      </c>
      <c r="AQ104" s="137">
        <v>4.8099999999999996</v>
      </c>
      <c r="AR104" s="99">
        <v>8092656</v>
      </c>
      <c r="AS104" s="65"/>
      <c r="AT104" s="65"/>
      <c r="AU104" s="65"/>
      <c r="AV104" s="65"/>
      <c r="AW104" s="23">
        <f>AU104+AV104</f>
        <v>0</v>
      </c>
      <c r="AX104" s="41">
        <f>AW104/5280</f>
        <v>0</v>
      </c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</row>
    <row r="105" spans="1:67" s="19" customFormat="1" x14ac:dyDescent="0.25">
      <c r="A105" s="65">
        <v>35217273</v>
      </c>
      <c r="B105" s="106" t="s">
        <v>5556</v>
      </c>
      <c r="C105" s="79">
        <v>6</v>
      </c>
      <c r="D105" s="79" t="s">
        <v>4871</v>
      </c>
      <c r="E105" s="110">
        <v>2021050</v>
      </c>
      <c r="F105" s="79">
        <v>1.1100000000000001</v>
      </c>
      <c r="G105" s="37">
        <f>F105-K105</f>
        <v>1.1100000000000001</v>
      </c>
      <c r="H105" s="79">
        <v>2021</v>
      </c>
      <c r="I105" s="65"/>
      <c r="J105" s="65"/>
      <c r="K105" s="37">
        <f>SUM(I105:J105)</f>
        <v>0</v>
      </c>
      <c r="L105" s="21">
        <v>213.67</v>
      </c>
      <c r="M105" s="79" t="s">
        <v>4880</v>
      </c>
      <c r="N105" s="65">
        <v>42871101</v>
      </c>
      <c r="O105" s="65" t="s">
        <v>4449</v>
      </c>
      <c r="P105" s="79" t="s">
        <v>4456</v>
      </c>
      <c r="Q105" s="38">
        <f>IFERROR(VLOOKUP(P105,[47]conductor_pz_summary_hftd_23_re!$B$2:$Q$3636,8,FALSE),0)</f>
        <v>3</v>
      </c>
      <c r="R105" s="38">
        <f>IFERROR(VLOOKUP(P105,[48]conductor_pz_summary_hftd_23_re!$B$2:$H$3636,7,0),0)/1609</f>
        <v>1.1132767118567868</v>
      </c>
      <c r="S105" s="23">
        <f>IFERROR(VLOOKUP(P105,[47]conductor_pz_summary_hftd_23_re!$B$2:$Q$3636,14,FALSE),0)</f>
        <v>6</v>
      </c>
      <c r="T105" s="23">
        <f>IFERROR(U105*Q105,0)</f>
        <v>3.7675564448636099</v>
      </c>
      <c r="U105" s="23">
        <f>IFERROR(VLOOKUP(P105,[47]conductor_pz_summary_hftd_23_re!$B$2:$Q$3636,13,FALSE),0)</f>
        <v>1.25585214828787</v>
      </c>
      <c r="V105" s="79">
        <f>IFERROR(VLOOKUP(P105,conductor_pz_summary_hftd_23_re!$B$2:$N$3636,13,FALSE),0)</f>
        <v>90</v>
      </c>
      <c r="W105" s="65">
        <f>(AJ105*0.67+AK105*0.99+AL105+AM105*0.99)/(SUM(AJ105:AM105))*T105*(F105/R105)</f>
        <v>3.7113897721454756</v>
      </c>
      <c r="X105" s="65"/>
      <c r="Y105" s="79" t="s">
        <v>4912</v>
      </c>
      <c r="Z105" s="79" t="s">
        <v>5330</v>
      </c>
      <c r="AA105" s="101" t="s">
        <v>5511</v>
      </c>
      <c r="AB105" s="65" t="s">
        <v>4875</v>
      </c>
      <c r="AC105" s="65" t="s">
        <v>5518</v>
      </c>
      <c r="AD105" s="65" t="s">
        <v>4877</v>
      </c>
      <c r="AE105" s="65">
        <v>5794203</v>
      </c>
      <c r="AF105" s="79" t="s">
        <v>5325</v>
      </c>
      <c r="AG105" s="79">
        <v>120048019</v>
      </c>
      <c r="AH105" s="79">
        <v>35217273</v>
      </c>
      <c r="AI105" s="79" t="s">
        <v>5335</v>
      </c>
      <c r="AJ105" s="79">
        <v>211.2</v>
      </c>
      <c r="AK105" s="79">
        <v>0</v>
      </c>
      <c r="AL105" s="79">
        <v>5596.8</v>
      </c>
      <c r="AM105" s="79">
        <v>0</v>
      </c>
      <c r="AN105" s="51" t="s">
        <v>5436</v>
      </c>
      <c r="AO105" s="51" t="s">
        <v>5435</v>
      </c>
      <c r="AP105" s="65">
        <f>AQ105*5280</f>
        <v>211.20000000000002</v>
      </c>
      <c r="AQ105" s="79">
        <v>0.04</v>
      </c>
      <c r="AR105" s="99">
        <v>970000</v>
      </c>
      <c r="AS105" s="65"/>
      <c r="AT105" s="65">
        <f>1.06*5280</f>
        <v>5596.8</v>
      </c>
      <c r="AU105" s="65"/>
      <c r="AV105" s="65">
        <f>0.04*5280</f>
        <v>211.20000000000002</v>
      </c>
      <c r="AW105" s="23">
        <f>SUM(AT105:AV105)</f>
        <v>5808</v>
      </c>
      <c r="AX105" s="41">
        <f>AW105/5280</f>
        <v>1.1000000000000001</v>
      </c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</row>
    <row r="106" spans="1:67" s="19" customFormat="1" x14ac:dyDescent="0.25">
      <c r="A106" s="65">
        <v>35217272</v>
      </c>
      <c r="B106" s="106" t="s">
        <v>5556</v>
      </c>
      <c r="C106" s="79">
        <v>7</v>
      </c>
      <c r="D106" s="79" t="s">
        <v>4871</v>
      </c>
      <c r="E106" s="110">
        <v>2021051</v>
      </c>
      <c r="F106" s="79">
        <v>8.1300000000000008</v>
      </c>
      <c r="G106" s="37">
        <f>F106-K106</f>
        <v>8.1300000000000008</v>
      </c>
      <c r="H106" s="79">
        <v>2021</v>
      </c>
      <c r="I106" s="65"/>
      <c r="J106" s="65"/>
      <c r="K106" s="37">
        <f>SUM(I106:J106)</f>
        <v>0</v>
      </c>
      <c r="L106" s="21">
        <v>0</v>
      </c>
      <c r="M106" s="79" t="s">
        <v>4880</v>
      </c>
      <c r="N106" s="65">
        <v>103451101</v>
      </c>
      <c r="O106" s="65" t="s">
        <v>2051</v>
      </c>
      <c r="P106" s="79" t="s">
        <v>2050</v>
      </c>
      <c r="Q106" s="38">
        <f>IFERROR(VLOOKUP(P106,[47]conductor_pz_summary_hftd_23_re!$B$2:$Q$3636,8,FALSE),0)</f>
        <v>39</v>
      </c>
      <c r="R106" s="38">
        <f>IFERROR(VLOOKUP(P106,[48]conductor_pz_summary_hftd_23_re!$B$2:$H$3636,7,0),0)/1609</f>
        <v>7.4478152973437544</v>
      </c>
      <c r="S106" s="23">
        <f>IFERROR(VLOOKUP(P106,[47]conductor_pz_summary_hftd_23_re!$B$2:$Q$3636,14,FALSE),0)</f>
        <v>7</v>
      </c>
      <c r="T106" s="23">
        <f>IFERROR(U106*Q106,0)</f>
        <v>48.843389095197061</v>
      </c>
      <c r="U106" s="23">
        <f>IFERROR(VLOOKUP(P106,[47]conductor_pz_summary_hftd_23_re!$B$2:$Q$3636,13,FALSE),0)</f>
        <v>1.2523945921845401</v>
      </c>
      <c r="V106" s="79">
        <f>IFERROR(VLOOKUP(P106,conductor_pz_summary_hftd_23_re!$B$2:$N$3636,13,FALSE),0)</f>
        <v>233</v>
      </c>
      <c r="W106" s="65">
        <f>(AJ106*0.67+AK106*0.99+AL106+AM106*0.99)/(SUM(AJ106:AM106))*T106*(F106/R106)</f>
        <v>49.300419603606194</v>
      </c>
      <c r="X106" s="65"/>
      <c r="Y106" s="79" t="s">
        <v>4873</v>
      </c>
      <c r="Z106" s="79" t="s">
        <v>5330</v>
      </c>
      <c r="AA106" s="101" t="s">
        <v>5493</v>
      </c>
      <c r="AB106" s="65" t="s">
        <v>5490</v>
      </c>
      <c r="AC106" s="65" t="s">
        <v>5242</v>
      </c>
      <c r="AD106" s="65" t="s">
        <v>4877</v>
      </c>
      <c r="AE106" s="65">
        <v>5794204</v>
      </c>
      <c r="AF106" s="79" t="s">
        <v>5324</v>
      </c>
      <c r="AG106" s="79">
        <v>120048018</v>
      </c>
      <c r="AH106" s="79">
        <v>35217272</v>
      </c>
      <c r="AI106" s="79" t="s">
        <v>5334</v>
      </c>
      <c r="AJ106" s="79">
        <v>8764.7999999999993</v>
      </c>
      <c r="AK106" s="79">
        <v>34162</v>
      </c>
      <c r="AL106" s="79"/>
      <c r="AM106" s="65"/>
      <c r="AN106" s="51" t="s">
        <v>5434</v>
      </c>
      <c r="AO106" s="40" t="s">
        <v>5433</v>
      </c>
      <c r="AP106" s="65">
        <f>AQ106*5280</f>
        <v>42926.400000000001</v>
      </c>
      <c r="AQ106" s="79">
        <v>8.1300000000000008</v>
      </c>
      <c r="AR106" s="99">
        <v>22711843</v>
      </c>
      <c r="AS106" s="65"/>
      <c r="AT106" s="65"/>
      <c r="AU106" s="65">
        <f>6.47*5280</f>
        <v>34161.599999999999</v>
      </c>
      <c r="AV106" s="65">
        <f>1.66*5280</f>
        <v>8764.7999999999993</v>
      </c>
      <c r="AW106" s="23">
        <f>SUM(AT106:AV106)</f>
        <v>42926.399999999994</v>
      </c>
      <c r="AX106" s="41">
        <f>AW106/5280</f>
        <v>8.129999999999999</v>
      </c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</row>
    <row r="107" spans="1:67" s="19" customFormat="1" x14ac:dyDescent="0.25">
      <c r="A107" s="65">
        <v>35217269</v>
      </c>
      <c r="B107" s="106" t="s">
        <v>5556</v>
      </c>
      <c r="C107" s="79">
        <v>6</v>
      </c>
      <c r="D107" s="79" t="s">
        <v>4871</v>
      </c>
      <c r="E107" s="110">
        <v>2021052</v>
      </c>
      <c r="F107" s="79">
        <v>4.9800000000000004</v>
      </c>
      <c r="G107" s="37">
        <f>F107-K107</f>
        <v>4.9800000000000004</v>
      </c>
      <c r="H107" s="79">
        <v>2021</v>
      </c>
      <c r="I107" s="65"/>
      <c r="J107" s="65"/>
      <c r="K107" s="37">
        <f>SUM(I107:J107)</f>
        <v>0</v>
      </c>
      <c r="L107" s="21">
        <v>2136.42</v>
      </c>
      <c r="M107" s="79" t="s">
        <v>4880</v>
      </c>
      <c r="N107" s="65">
        <v>43141102</v>
      </c>
      <c r="O107" s="65" t="s">
        <v>2425</v>
      </c>
      <c r="P107" s="79" t="s">
        <v>2426</v>
      </c>
      <c r="Q107" s="38">
        <f>IFERROR(VLOOKUP(P107,[47]conductor_pz_summary_hftd_23_re!$B$2:$Q$3636,8,FALSE),0)</f>
        <v>53</v>
      </c>
      <c r="R107" s="38">
        <f>IFERROR(VLOOKUP(P107,[48]conductor_pz_summary_hftd_23_re!$B$2:$H$3636,7,0),0)/1609</f>
        <v>4.7057750984646365</v>
      </c>
      <c r="S107" s="23">
        <f>IFERROR(VLOOKUP(P107,[47]conductor_pz_summary_hftd_23_re!$B$2:$Q$3636,14,FALSE),0)</f>
        <v>8</v>
      </c>
      <c r="T107" s="23">
        <f>IFERROR(U107*Q107,0)</f>
        <v>48.564977773158759</v>
      </c>
      <c r="U107" s="23">
        <f>IFERROR(VLOOKUP(P107,[47]conductor_pz_summary_hftd_23_re!$B$2:$Q$3636,13,FALSE),0)</f>
        <v>0.91632033534261803</v>
      </c>
      <c r="V107" s="79">
        <f>IFERROR(VLOOKUP(P107,conductor_pz_summary_hftd_23_re!$B$2:$N$3636,13,FALSE),0)</f>
        <v>121</v>
      </c>
      <c r="W107" s="65">
        <f>(AJ107*0.67+AK107*0.99+AL107+AM107*0.99)/(SUM(AJ107:AM107))*T107*(F107/R107)</f>
        <v>40.21405367473546</v>
      </c>
      <c r="X107" s="65"/>
      <c r="Y107" s="79" t="s">
        <v>4912</v>
      </c>
      <c r="Z107" s="79" t="s">
        <v>5330</v>
      </c>
      <c r="AA107" s="101" t="s">
        <v>4874</v>
      </c>
      <c r="AB107" s="65" t="s">
        <v>4875</v>
      </c>
      <c r="AC107" s="65" t="s">
        <v>4876</v>
      </c>
      <c r="AD107" s="65" t="s">
        <v>4877</v>
      </c>
      <c r="AE107" s="65">
        <v>5794207</v>
      </c>
      <c r="AF107" s="79" t="s">
        <v>5321</v>
      </c>
      <c r="AG107" s="79">
        <v>120048011</v>
      </c>
      <c r="AH107" s="79">
        <v>35217269</v>
      </c>
      <c r="AI107" s="79" t="s">
        <v>5628</v>
      </c>
      <c r="AJ107" s="79">
        <v>17054.400000000001</v>
      </c>
      <c r="AK107" s="79">
        <v>9240</v>
      </c>
      <c r="AL107" s="79"/>
      <c r="AM107" s="65"/>
      <c r="AN107" s="51" t="s">
        <v>5430</v>
      </c>
      <c r="AO107" s="51" t="s">
        <v>5429</v>
      </c>
      <c r="AP107" s="65">
        <f>AQ107*5280</f>
        <v>26294.400000000001</v>
      </c>
      <c r="AQ107" s="79">
        <v>4.9800000000000004</v>
      </c>
      <c r="AR107" s="99">
        <v>6542572</v>
      </c>
      <c r="AS107" s="65"/>
      <c r="AT107" s="65"/>
      <c r="AU107" s="65">
        <f>1.75*5280</f>
        <v>9240</v>
      </c>
      <c r="AV107" s="65">
        <f>3.23*5280</f>
        <v>17054.400000000001</v>
      </c>
      <c r="AW107" s="23">
        <f>SUM(AT107:AV107)</f>
        <v>26294.400000000001</v>
      </c>
      <c r="AX107" s="41">
        <f>AW107/5280</f>
        <v>4.9800000000000004</v>
      </c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</row>
    <row r="108" spans="1:67" s="19" customFormat="1" x14ac:dyDescent="0.25">
      <c r="A108" s="65">
        <v>35217270</v>
      </c>
      <c r="B108" s="106" t="s">
        <v>5556</v>
      </c>
      <c r="C108" s="79">
        <v>6</v>
      </c>
      <c r="D108" s="79" t="s">
        <v>4871</v>
      </c>
      <c r="E108" s="110">
        <v>2021053</v>
      </c>
      <c r="F108" s="79">
        <v>2.09</v>
      </c>
      <c r="G108" s="37">
        <f>F108-K108</f>
        <v>2.09</v>
      </c>
      <c r="H108" s="79">
        <v>2021</v>
      </c>
      <c r="I108" s="65"/>
      <c r="J108" s="65"/>
      <c r="K108" s="37">
        <f>SUM(I108:J108)</f>
        <v>0</v>
      </c>
      <c r="L108" s="21">
        <v>1419.27</v>
      </c>
      <c r="M108" s="79" t="s">
        <v>4880</v>
      </c>
      <c r="N108" s="65">
        <v>43311101</v>
      </c>
      <c r="O108" s="65" t="s">
        <v>2063</v>
      </c>
      <c r="P108" s="79" t="s">
        <v>2073</v>
      </c>
      <c r="Q108" s="38">
        <f>IFERROR(VLOOKUP(P108,[47]conductor_pz_summary_hftd_23_re!$B$2:$Q$3636,8,FALSE),0)</f>
        <v>59</v>
      </c>
      <c r="R108" s="38">
        <f>IFERROR(VLOOKUP(P108,[48]conductor_pz_summary_hftd_23_re!$B$2:$H$3636,7,0),0)/1609</f>
        <v>6.2704015389340588</v>
      </c>
      <c r="S108" s="23">
        <f>IFERROR(VLOOKUP(P108,[47]conductor_pz_summary_hftd_23_re!$B$2:$Q$3636,14,FALSE),0)</f>
        <v>9</v>
      </c>
      <c r="T108" s="23">
        <f>IFERROR(U108*Q108,0)</f>
        <v>51.700819597256988</v>
      </c>
      <c r="U108" s="23">
        <f>IFERROR(VLOOKUP(P108,[47]conductor_pz_summary_hftd_23_re!$B$2:$Q$3636,13,FALSE),0)</f>
        <v>0.87628507791960997</v>
      </c>
      <c r="V108" s="79">
        <f>IFERROR(VLOOKUP(P108,conductor_pz_summary_hftd_23_re!$B$2:$N$3636,13,FALSE),0)</f>
        <v>220</v>
      </c>
      <c r="W108" s="65">
        <f>(AJ108*0.67+AK108*0.99+AL108+AM108*0.99)/(SUM(AJ108:AM108))*T108*(F108/R108)</f>
        <v>11.545776970185242</v>
      </c>
      <c r="X108" s="65"/>
      <c r="Y108" s="79" t="s">
        <v>4873</v>
      </c>
      <c r="Z108" s="79" t="s">
        <v>5330</v>
      </c>
      <c r="AA108" s="101" t="s">
        <v>5009</v>
      </c>
      <c r="AB108" s="65" t="s">
        <v>4875</v>
      </c>
      <c r="AC108" s="65" t="s">
        <v>4876</v>
      </c>
      <c r="AD108" s="65" t="s">
        <v>4877</v>
      </c>
      <c r="AE108" s="65">
        <v>5794206</v>
      </c>
      <c r="AF108" s="79" t="s">
        <v>5322</v>
      </c>
      <c r="AG108" s="79">
        <v>120048013</v>
      </c>
      <c r="AH108" s="79">
        <v>35217270</v>
      </c>
      <c r="AI108" s="79" t="s">
        <v>5333</v>
      </c>
      <c r="AJ108" s="79">
        <v>11035.2</v>
      </c>
      <c r="AK108" s="79"/>
      <c r="AL108" s="79"/>
      <c r="AM108" s="65"/>
      <c r="AN108" s="51" t="s">
        <v>5432</v>
      </c>
      <c r="AO108" s="51" t="s">
        <v>5431</v>
      </c>
      <c r="AP108" s="65">
        <f>AQ108*5280</f>
        <v>11035.199999999999</v>
      </c>
      <c r="AQ108" s="79">
        <v>2.09</v>
      </c>
      <c r="AR108" s="99">
        <v>2458800</v>
      </c>
      <c r="AS108" s="65"/>
      <c r="AT108" s="65"/>
      <c r="AU108" s="65"/>
      <c r="AV108" s="65">
        <f>2.09*5280</f>
        <v>11035.199999999999</v>
      </c>
      <c r="AW108" s="23">
        <f>SUM(AT108:AV108)</f>
        <v>11035.199999999999</v>
      </c>
      <c r="AX108" s="41">
        <f>AW108/5280</f>
        <v>2.09</v>
      </c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</row>
    <row r="109" spans="1:67" s="19" customFormat="1" x14ac:dyDescent="0.25">
      <c r="A109" s="65">
        <v>35217267</v>
      </c>
      <c r="B109" s="106" t="s">
        <v>5556</v>
      </c>
      <c r="C109" s="79">
        <v>6</v>
      </c>
      <c r="D109" s="79" t="s">
        <v>4871</v>
      </c>
      <c r="E109" s="110">
        <v>2021054</v>
      </c>
      <c r="F109" s="79">
        <v>0.71</v>
      </c>
      <c r="G109" s="37">
        <f>F109-K109</f>
        <v>0.71</v>
      </c>
      <c r="H109" s="79">
        <v>2021</v>
      </c>
      <c r="I109" s="65"/>
      <c r="J109" s="65"/>
      <c r="K109" s="37">
        <f>SUM(I109:J109)</f>
        <v>0</v>
      </c>
      <c r="L109" s="21">
        <v>3293.6</v>
      </c>
      <c r="M109" s="79" t="s">
        <v>4880</v>
      </c>
      <c r="N109" s="65">
        <v>254452102</v>
      </c>
      <c r="O109" s="65" t="s">
        <v>2319</v>
      </c>
      <c r="P109" s="79" t="s">
        <v>2321</v>
      </c>
      <c r="Q109" s="38">
        <f>IFERROR(VLOOKUP(P109,[47]conductor_pz_summary_hftd_23_re!$B$2:$Q$3636,8,FALSE),0)</f>
        <v>14</v>
      </c>
      <c r="R109" s="38">
        <f>IFERROR(VLOOKUP(P109,[48]conductor_pz_summary_hftd_23_re!$B$2:$H$3636,7,0),0)/1609</f>
        <v>0.71280745282256674</v>
      </c>
      <c r="S109" s="23">
        <f>IFERROR(VLOOKUP(P109,[47]conductor_pz_summary_hftd_23_re!$B$2:$Q$3636,14,FALSE),0)</f>
        <v>10</v>
      </c>
      <c r="T109" s="23">
        <f>IFERROR(U109*Q109,0)</f>
        <v>10.814776558984439</v>
      </c>
      <c r="U109" s="23">
        <f>IFERROR(VLOOKUP(P109,[47]conductor_pz_summary_hftd_23_re!$B$2:$Q$3636,13,FALSE),0)</f>
        <v>0.77248403992745995</v>
      </c>
      <c r="V109" s="79">
        <f>IFERROR(VLOOKUP(P109,conductor_pz_summary_hftd_23_re!$B$2:$N$3636,13,FALSE),0)</f>
        <v>26</v>
      </c>
      <c r="W109" s="65">
        <f>(AJ109*0.67+AK109*0.99+AL109+AM109*0.99)/(SUM(AJ109:AM109))*T109*(F109/R109)</f>
        <v>7.2173616994847807</v>
      </c>
      <c r="X109" s="65"/>
      <c r="Y109" s="79" t="s">
        <v>5475</v>
      </c>
      <c r="Z109" s="79" t="s">
        <v>5330</v>
      </c>
      <c r="AA109" s="101" t="s">
        <v>5510</v>
      </c>
      <c r="AB109" s="65" t="s">
        <v>5474</v>
      </c>
      <c r="AC109" s="65" t="s">
        <v>4969</v>
      </c>
      <c r="AD109" s="65" t="s">
        <v>4963</v>
      </c>
      <c r="AE109" s="65">
        <v>5794209</v>
      </c>
      <c r="AF109" s="79" t="s">
        <v>5319</v>
      </c>
      <c r="AG109" s="79">
        <v>120047657</v>
      </c>
      <c r="AH109" s="79">
        <v>35217267</v>
      </c>
      <c r="AI109" s="79" t="s">
        <v>5331</v>
      </c>
      <c r="AJ109" s="79">
        <v>3748.8</v>
      </c>
      <c r="AK109" s="65"/>
      <c r="AL109" s="65"/>
      <c r="AM109" s="65"/>
      <c r="AN109" s="65"/>
      <c r="AO109" s="51" t="s">
        <v>5473</v>
      </c>
      <c r="AP109" s="65">
        <f>AQ109*5280</f>
        <v>3748.7999999999997</v>
      </c>
      <c r="AQ109" s="79">
        <v>0.71</v>
      </c>
      <c r="AR109" s="99">
        <v>804541</v>
      </c>
      <c r="AS109" s="65"/>
      <c r="AT109" s="65"/>
      <c r="AU109" s="65"/>
      <c r="AV109" s="65">
        <v>3748.8</v>
      </c>
      <c r="AW109" s="23">
        <f>SUM(AT109:AV109)</f>
        <v>3748.8</v>
      </c>
      <c r="AX109" s="41">
        <f>AW109/5280</f>
        <v>0.71000000000000008</v>
      </c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</row>
    <row r="110" spans="1:67" s="19" customFormat="1" x14ac:dyDescent="0.25">
      <c r="A110" s="65">
        <v>35217268</v>
      </c>
      <c r="B110" s="106" t="s">
        <v>5556</v>
      </c>
      <c r="C110" s="79">
        <v>7</v>
      </c>
      <c r="D110" s="79" t="s">
        <v>4871</v>
      </c>
      <c r="E110" s="110">
        <v>2021055</v>
      </c>
      <c r="F110" s="79">
        <v>4.0599999999999996</v>
      </c>
      <c r="G110" s="37">
        <f>F110-K110</f>
        <v>4.0599999999999996</v>
      </c>
      <c r="H110" s="79">
        <v>2021</v>
      </c>
      <c r="I110" s="65"/>
      <c r="J110" s="65"/>
      <c r="K110" s="37">
        <f>SUM(I110:J110)</f>
        <v>0</v>
      </c>
      <c r="L110" s="21">
        <v>0</v>
      </c>
      <c r="M110" s="79" t="s">
        <v>4880</v>
      </c>
      <c r="N110" s="65">
        <v>102211101</v>
      </c>
      <c r="O110" s="65" t="s">
        <v>498</v>
      </c>
      <c r="P110" s="79" t="s">
        <v>497</v>
      </c>
      <c r="Q110" s="38">
        <f>IFERROR(VLOOKUP(P110,[47]conductor_pz_summary_hftd_23_re!$B$2:$Q$3636,8,FALSE),0)</f>
        <v>13</v>
      </c>
      <c r="R110" s="38">
        <f>IFERROR(VLOOKUP(P110,[48]conductor_pz_summary_hftd_23_re!$B$2:$H$3636,7,0),0)/1609</f>
        <v>4.8007878256915042</v>
      </c>
      <c r="S110" s="23">
        <f>IFERROR(VLOOKUP(P110,[47]conductor_pz_summary_hftd_23_re!$B$2:$Q$3636,14,FALSE),0)</f>
        <v>11</v>
      </c>
      <c r="T110" s="23">
        <f>IFERROR(U110*Q110,0)</f>
        <v>9.5538678011782601</v>
      </c>
      <c r="U110" s="23">
        <f>IFERROR(VLOOKUP(P110,[47]conductor_pz_summary_hftd_23_re!$B$2:$Q$3636,13,FALSE),0)</f>
        <v>0.73491290778294305</v>
      </c>
      <c r="V110" s="79">
        <f>IFERROR(VLOOKUP(P110,conductor_pz_summary_hftd_23_re!$B$2:$N$3636,13,FALSE),0)</f>
        <v>200</v>
      </c>
      <c r="W110" s="65">
        <f>(AJ110*0.67+AK110*0.99+AL110+AM110*0.99)/(SUM(AJ110:AM110))*T110*(F110/R110)</f>
        <v>6.5787485979107725</v>
      </c>
      <c r="X110" s="65"/>
      <c r="Y110" s="79" t="s">
        <v>5475</v>
      </c>
      <c r="Z110" s="79" t="s">
        <v>5330</v>
      </c>
      <c r="AA110" s="101" t="s">
        <v>5517</v>
      </c>
      <c r="AB110" s="65" t="s">
        <v>5476</v>
      </c>
      <c r="AC110" s="65" t="s">
        <v>5242</v>
      </c>
      <c r="AD110" s="65" t="s">
        <v>4877</v>
      </c>
      <c r="AE110" s="65">
        <v>5794208</v>
      </c>
      <c r="AF110" s="79" t="s">
        <v>5320</v>
      </c>
      <c r="AG110" s="79">
        <v>120047659</v>
      </c>
      <c r="AH110" s="79">
        <v>35217268</v>
      </c>
      <c r="AI110" s="79" t="s">
        <v>5332</v>
      </c>
      <c r="AJ110" s="79">
        <v>11774.4</v>
      </c>
      <c r="AK110" s="79">
        <v>9662.4</v>
      </c>
      <c r="AL110" s="79"/>
      <c r="AM110" s="65"/>
      <c r="AN110" s="51" t="s">
        <v>5428</v>
      </c>
      <c r="AO110" s="40" t="s">
        <v>5427</v>
      </c>
      <c r="AP110" s="65">
        <f>AQ110*5280</f>
        <v>21436.799999999999</v>
      </c>
      <c r="AQ110" s="79">
        <v>4.0599999999999996</v>
      </c>
      <c r="AR110" s="99">
        <v>6144137</v>
      </c>
      <c r="AS110" s="65"/>
      <c r="AT110" s="65"/>
      <c r="AU110" s="65">
        <f>1.83*5280</f>
        <v>9662.4</v>
      </c>
      <c r="AV110" s="65">
        <f>2.23*5280</f>
        <v>11774.4</v>
      </c>
      <c r="AW110" s="23">
        <f>SUM(AT110:AV110)</f>
        <v>21436.799999999999</v>
      </c>
      <c r="AX110" s="41">
        <f>AW110/5280</f>
        <v>4.0599999999999996</v>
      </c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</row>
    <row r="111" spans="1:67" s="19" customFormat="1" x14ac:dyDescent="0.25">
      <c r="A111" s="65">
        <v>35217271</v>
      </c>
      <c r="B111" s="106" t="s">
        <v>5556</v>
      </c>
      <c r="C111" s="79">
        <v>6</v>
      </c>
      <c r="D111" s="79" t="s">
        <v>4871</v>
      </c>
      <c r="E111" s="110">
        <v>2021056</v>
      </c>
      <c r="F111" s="79">
        <v>7.23</v>
      </c>
      <c r="G111" s="37">
        <f>F111-K111</f>
        <v>7.23</v>
      </c>
      <c r="H111" s="79">
        <v>2021</v>
      </c>
      <c r="I111" s="65"/>
      <c r="J111" s="65"/>
      <c r="K111" s="37">
        <f>SUM(I111:J111)</f>
        <v>0</v>
      </c>
      <c r="L111" s="65">
        <v>8653.69</v>
      </c>
      <c r="M111" s="79" t="s">
        <v>4880</v>
      </c>
      <c r="N111" s="65">
        <v>43141103</v>
      </c>
      <c r="O111" s="65" t="s">
        <v>2433</v>
      </c>
      <c r="P111" s="79" t="s">
        <v>2432</v>
      </c>
      <c r="Q111" s="38">
        <f>IFERROR(VLOOKUP(P111,[47]conductor_pz_summary_hftd_23_re!$B$2:$Q$3636,8,FALSE),0)</f>
        <v>212</v>
      </c>
      <c r="R111" s="38">
        <f>IFERROR(VLOOKUP(P111,[48]conductor_pz_summary_hftd_23_re!$B$2:$H$3636,7,0),0)/1609</f>
        <v>27.732817672521005</v>
      </c>
      <c r="S111" s="23">
        <f>IFERROR(VLOOKUP(P111,[47]conductor_pz_summary_hftd_23_re!$B$2:$Q$3636,14,FALSE),0)</f>
        <v>14</v>
      </c>
      <c r="T111" s="23">
        <f>IFERROR(U111*Q111,0)</f>
        <v>151.82914987294214</v>
      </c>
      <c r="U111" s="23">
        <f>IFERROR(VLOOKUP(P111,[47]conductor_pz_summary_hftd_23_re!$B$2:$Q$3636,13,FALSE),0)</f>
        <v>0.71617523524972704</v>
      </c>
      <c r="V111" s="79">
        <f>IFERROR(VLOOKUP(P111,conductor_pz_summary_hftd_23_re!$B$2:$N$3636,13,FALSE),0)</f>
        <v>102</v>
      </c>
      <c r="W111" s="65" t="e">
        <f>(AJ111*0.67+AK111*0.99+AL111+AM111*0.99)/(SUM(AJ111:AM111))*T111*(F111/R111)</f>
        <v>#DIV/0!</v>
      </c>
      <c r="X111" s="65"/>
      <c r="Y111" s="65"/>
      <c r="Z111" s="79" t="s">
        <v>5330</v>
      </c>
      <c r="AA111" s="101" t="s">
        <v>4874</v>
      </c>
      <c r="AB111" s="65" t="s">
        <v>4875</v>
      </c>
      <c r="AC111" s="65" t="s">
        <v>4876</v>
      </c>
      <c r="AD111" s="65" t="s">
        <v>4877</v>
      </c>
      <c r="AE111" s="65">
        <v>5794205</v>
      </c>
      <c r="AF111" s="79" t="s">
        <v>5323</v>
      </c>
      <c r="AG111" s="79">
        <v>120048017</v>
      </c>
      <c r="AH111" s="79">
        <v>35217271</v>
      </c>
      <c r="AI111" s="79" t="s">
        <v>5609</v>
      </c>
      <c r="AJ111" s="79"/>
      <c r="AK111" s="79"/>
      <c r="AL111" s="79"/>
      <c r="AM111" s="65"/>
      <c r="AN111" s="65"/>
      <c r="AO111" s="51" t="s">
        <v>5634</v>
      </c>
      <c r="AP111" s="65">
        <f>AQ111*5280</f>
        <v>38016</v>
      </c>
      <c r="AQ111" s="79">
        <v>7.2</v>
      </c>
      <c r="AR111" s="99">
        <v>11000000</v>
      </c>
      <c r="AS111" s="65"/>
      <c r="AT111" s="65"/>
      <c r="AU111" s="65"/>
      <c r="AV111" s="65"/>
      <c r="AW111" s="23">
        <f>SUM(AT111:AV111)</f>
        <v>0</v>
      </c>
      <c r="AX111" s="41">
        <f>AW111/5280</f>
        <v>0</v>
      </c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</row>
    <row r="112" spans="1:67" s="19" customFormat="1" x14ac:dyDescent="0.25">
      <c r="A112" s="65">
        <v>35220895</v>
      </c>
      <c r="B112" s="106" t="s">
        <v>5556</v>
      </c>
      <c r="C112" s="79">
        <v>6</v>
      </c>
      <c r="D112" s="79" t="s">
        <v>4871</v>
      </c>
      <c r="E112" s="110">
        <v>2021057</v>
      </c>
      <c r="F112" s="79">
        <v>9.2200000000000006</v>
      </c>
      <c r="G112" s="37">
        <f>F112-K112</f>
        <v>9.2200000000000006</v>
      </c>
      <c r="H112" s="79">
        <v>2021</v>
      </c>
      <c r="I112" s="65"/>
      <c r="J112" s="65"/>
      <c r="K112" s="37">
        <f>SUM(I112:J112)</f>
        <v>0</v>
      </c>
      <c r="L112" s="65"/>
      <c r="M112" s="79" t="s">
        <v>4880</v>
      </c>
      <c r="N112" s="65">
        <v>43141103</v>
      </c>
      <c r="O112" s="65" t="s">
        <v>2433</v>
      </c>
      <c r="P112" s="79" t="s">
        <v>2432</v>
      </c>
      <c r="Q112" s="38">
        <f>IFERROR(VLOOKUP(P112,[47]conductor_pz_summary_hftd_23_re!$B$2:$Q$3636,8,FALSE),0)</f>
        <v>212</v>
      </c>
      <c r="R112" s="38">
        <f>IFERROR(VLOOKUP(P112,[48]conductor_pz_summary_hftd_23_re!$B$2:$H$3636,7,0),0)/1609</f>
        <v>27.732817672521005</v>
      </c>
      <c r="S112" s="23">
        <v>14</v>
      </c>
      <c r="T112" s="23">
        <f>IFERROR(U112*Q112,0)</f>
        <v>151.82914987294214</v>
      </c>
      <c r="U112" s="23">
        <f>IFERROR(VLOOKUP(P112,[47]conductor_pz_summary_hftd_23_re!$B$2:$Q$3636,13,FALSE),0)</f>
        <v>0.71617523524972704</v>
      </c>
      <c r="V112" s="79">
        <f>IFERROR(VLOOKUP(P112,conductor_pz_summary_hftd_23_re!$B$2:$N$3636,13,FALSE),0)</f>
        <v>102</v>
      </c>
      <c r="W112" s="65" t="e">
        <f>(AJ112*0.67+AK112*0.99+AL112+AM112*0.99)/(SUM(AJ112:AM112))*T112*(F112/R112)</f>
        <v>#DIV/0!</v>
      </c>
      <c r="X112" s="65"/>
      <c r="Y112" s="65"/>
      <c r="Z112" s="79" t="s">
        <v>5330</v>
      </c>
      <c r="AA112" s="101" t="s">
        <v>4874</v>
      </c>
      <c r="AB112" s="65" t="s">
        <v>4875</v>
      </c>
      <c r="AC112" s="65" t="s">
        <v>4876</v>
      </c>
      <c r="AD112" s="65" t="s">
        <v>4877</v>
      </c>
      <c r="AE112" s="65">
        <v>5794205</v>
      </c>
      <c r="AF112" s="79" t="s">
        <v>5574</v>
      </c>
      <c r="AG112" s="79">
        <v>120221891</v>
      </c>
      <c r="AH112" s="79">
        <v>35220895</v>
      </c>
      <c r="AI112" s="79" t="s">
        <v>5576</v>
      </c>
      <c r="AJ112" s="79"/>
      <c r="AK112" s="79"/>
      <c r="AL112" s="79"/>
      <c r="AM112" s="65"/>
      <c r="AN112" s="65"/>
      <c r="AO112" s="51" t="s">
        <v>5635</v>
      </c>
      <c r="AP112" s="65">
        <f>AQ112*5280</f>
        <v>48681.600000000006</v>
      </c>
      <c r="AQ112" s="79">
        <v>9.2200000000000006</v>
      </c>
      <c r="AR112" s="99">
        <v>7050000</v>
      </c>
      <c r="AS112" s="65"/>
      <c r="AT112" s="65"/>
      <c r="AU112" s="65"/>
      <c r="AV112" s="65"/>
      <c r="AW112" s="23"/>
      <c r="AX112" s="41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</row>
    <row r="113" spans="1:67" s="19" customFormat="1" x14ac:dyDescent="0.25">
      <c r="A113" s="65">
        <v>35220896</v>
      </c>
      <c r="B113" s="106" t="s">
        <v>5556</v>
      </c>
      <c r="C113" s="79">
        <v>6</v>
      </c>
      <c r="D113" s="79" t="s">
        <v>4871</v>
      </c>
      <c r="E113" s="110">
        <v>2021058</v>
      </c>
      <c r="F113" s="79">
        <v>3.64</v>
      </c>
      <c r="G113" s="37">
        <f>F113-K113</f>
        <v>3.64</v>
      </c>
      <c r="H113" s="79">
        <v>2021</v>
      </c>
      <c r="I113" s="65"/>
      <c r="J113" s="65"/>
      <c r="K113" s="37">
        <f>SUM(I113:J113)</f>
        <v>0</v>
      </c>
      <c r="L113" s="65"/>
      <c r="M113" s="79" t="s">
        <v>4880</v>
      </c>
      <c r="N113" s="65">
        <v>43141103</v>
      </c>
      <c r="O113" s="65" t="s">
        <v>2433</v>
      </c>
      <c r="P113" s="79" t="s">
        <v>2432</v>
      </c>
      <c r="Q113" s="38">
        <f>IFERROR(VLOOKUP(P113,[47]conductor_pz_summary_hftd_23_re!$B$2:$Q$3636,8,FALSE),0)</f>
        <v>212</v>
      </c>
      <c r="R113" s="38">
        <f>IFERROR(VLOOKUP(P113,[48]conductor_pz_summary_hftd_23_re!$B$2:$H$3636,7,0),0)/1609</f>
        <v>27.732817672521005</v>
      </c>
      <c r="S113" s="23">
        <v>14</v>
      </c>
      <c r="T113" s="23">
        <f>IFERROR(U113*Q113,0)</f>
        <v>151.82914987294214</v>
      </c>
      <c r="U113" s="23">
        <f>IFERROR(VLOOKUP(P113,[47]conductor_pz_summary_hftd_23_re!$B$2:$Q$3636,13,FALSE),0)</f>
        <v>0.71617523524972704</v>
      </c>
      <c r="V113" s="79">
        <f>IFERROR(VLOOKUP(P113,conductor_pz_summary_hftd_23_re!$B$2:$N$3636,13,FALSE),0)</f>
        <v>102</v>
      </c>
      <c r="W113" s="65" t="e">
        <f>(AJ113*0.67+AK113*0.99+AL113+AM113*0.99)/(SUM(AJ113:AM113))*T113*(F113/R113)</f>
        <v>#DIV/0!</v>
      </c>
      <c r="X113" s="65"/>
      <c r="Y113" s="65"/>
      <c r="Z113" s="79" t="s">
        <v>5330</v>
      </c>
      <c r="AA113" s="101" t="s">
        <v>4874</v>
      </c>
      <c r="AB113" s="65" t="s">
        <v>4875</v>
      </c>
      <c r="AC113" s="65" t="s">
        <v>4876</v>
      </c>
      <c r="AD113" s="65" t="s">
        <v>4877</v>
      </c>
      <c r="AE113" s="65">
        <v>5794205</v>
      </c>
      <c r="AF113" s="79" t="s">
        <v>5575</v>
      </c>
      <c r="AG113" s="79">
        <v>120222356</v>
      </c>
      <c r="AH113" s="79">
        <v>35220896</v>
      </c>
      <c r="AI113" s="79" t="s">
        <v>5577</v>
      </c>
      <c r="AJ113" s="79"/>
      <c r="AK113" s="79"/>
      <c r="AL113" s="79"/>
      <c r="AM113" s="65"/>
      <c r="AN113" s="65"/>
      <c r="AO113" s="51" t="s">
        <v>5636</v>
      </c>
      <c r="AP113" s="65">
        <f>AQ113*5280</f>
        <v>19219.2</v>
      </c>
      <c r="AQ113" s="79">
        <v>3.64</v>
      </c>
      <c r="AR113" s="99">
        <v>3976000</v>
      </c>
      <c r="AS113" s="65"/>
      <c r="AT113" s="65"/>
      <c r="AU113" s="65"/>
      <c r="AV113" s="65"/>
      <c r="AW113" s="23"/>
      <c r="AX113" s="41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ht="15.75" x14ac:dyDescent="0.3">
      <c r="A114" s="65">
        <v>35222045</v>
      </c>
      <c r="B114" s="106" t="s">
        <v>5556</v>
      </c>
      <c r="C114" s="79">
        <v>6</v>
      </c>
      <c r="D114" s="79" t="s">
        <v>4871</v>
      </c>
      <c r="E114" s="110">
        <v>2021059</v>
      </c>
      <c r="F114" s="79">
        <v>0.75</v>
      </c>
      <c r="G114" s="37">
        <f>F114-K114</f>
        <v>0.75</v>
      </c>
      <c r="H114" s="79">
        <v>2021</v>
      </c>
      <c r="I114" s="65"/>
      <c r="J114" s="65"/>
      <c r="K114" s="37">
        <f>SUM(I114:J114)</f>
        <v>0</v>
      </c>
      <c r="L114" s="65"/>
      <c r="M114" s="79" t="s">
        <v>4880</v>
      </c>
      <c r="N114" s="65">
        <v>43141103</v>
      </c>
      <c r="O114" s="65" t="s">
        <v>2433</v>
      </c>
      <c r="P114" s="79" t="s">
        <v>2432</v>
      </c>
      <c r="Q114" s="38">
        <f>IFERROR(VLOOKUP(P114,[47]conductor_pz_summary_hftd_23_re!$B$2:$Q$3636,8,FALSE),0)</f>
        <v>212</v>
      </c>
      <c r="R114" s="38">
        <f>IFERROR(VLOOKUP(P114,[48]conductor_pz_summary_hftd_23_re!$B$2:$H$3636,7,0),0)/1609</f>
        <v>27.732817672521005</v>
      </c>
      <c r="S114" s="23">
        <v>14</v>
      </c>
      <c r="T114" s="23">
        <f>IFERROR(U114*Q114,0)</f>
        <v>151.82914987294214</v>
      </c>
      <c r="U114" s="23">
        <f>IFERROR(VLOOKUP(P114,[47]conductor_pz_summary_hftd_23_re!$B$2:$Q$3636,13,FALSE),0)</f>
        <v>0.71617523524972704</v>
      </c>
      <c r="V114" s="79">
        <f>IFERROR(VLOOKUP(P114,conductor_pz_summary_hftd_23_re!$B$2:$N$3636,13,FALSE),0)</f>
        <v>102</v>
      </c>
      <c r="W114" s="65" t="e">
        <f>(AJ114*0.67+AK114*0.99+AL114+AM114*0.99)/(SUM(AJ114:AM114))*T114*(F114/R114)</f>
        <v>#DIV/0!</v>
      </c>
      <c r="X114" s="65"/>
      <c r="Y114" s="65"/>
      <c r="Z114" s="79" t="s">
        <v>5330</v>
      </c>
      <c r="AA114" s="101" t="s">
        <v>4874</v>
      </c>
      <c r="AB114" s="65" t="s">
        <v>4902</v>
      </c>
      <c r="AC114" s="65" t="s">
        <v>4876</v>
      </c>
      <c r="AD114" s="65" t="s">
        <v>4877</v>
      </c>
      <c r="AE114" s="127">
        <v>5794898</v>
      </c>
      <c r="AF114" s="79" t="s">
        <v>5610</v>
      </c>
      <c r="AG114" s="23">
        <v>120233319</v>
      </c>
      <c r="AH114" s="79">
        <v>35222045</v>
      </c>
      <c r="AI114" s="79" t="s">
        <v>5608</v>
      </c>
      <c r="AJ114" s="79"/>
      <c r="AK114" s="79"/>
      <c r="AL114" s="79"/>
      <c r="AM114" s="65"/>
      <c r="AN114" s="65"/>
      <c r="AO114" s="51" t="s">
        <v>5637</v>
      </c>
      <c r="AP114" s="65">
        <f>AQ114*5280</f>
        <v>3907.2</v>
      </c>
      <c r="AQ114" s="79">
        <v>0.74</v>
      </c>
      <c r="AR114" s="99">
        <v>808000</v>
      </c>
      <c r="AS114" s="65"/>
      <c r="AT114" s="65"/>
      <c r="AU114" s="65"/>
      <c r="AV114" s="65"/>
      <c r="AW114" s="23"/>
      <c r="AX114" s="41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50">
        <v>35062376</v>
      </c>
      <c r="B115" s="64" t="s">
        <v>5555</v>
      </c>
      <c r="C115" s="23">
        <v>7</v>
      </c>
      <c r="D115" s="23" t="s">
        <v>4871</v>
      </c>
      <c r="E115" s="110">
        <v>2021060</v>
      </c>
      <c r="F115" s="23">
        <v>11</v>
      </c>
      <c r="G115" s="37">
        <f>F115-K115</f>
        <v>11</v>
      </c>
      <c r="H115" s="20">
        <v>2021</v>
      </c>
      <c r="I115" s="37"/>
      <c r="J115" s="37"/>
      <c r="K115" s="37">
        <f>SUM(I115:J115)</f>
        <v>0</v>
      </c>
      <c r="L115" s="21">
        <v>1425.11</v>
      </c>
      <c r="M115" s="23" t="s">
        <v>4880</v>
      </c>
      <c r="N115" s="22">
        <v>153652109</v>
      </c>
      <c r="O115" s="19" t="s">
        <v>4025</v>
      </c>
      <c r="P115" s="23" t="s">
        <v>4030</v>
      </c>
      <c r="Q115" s="38">
        <f>IFERROR(VLOOKUP(P115,[47]conductor_pz_summary_hftd_23_re!$B$2:$Q$3636,8,FALSE),0)</f>
        <v>122</v>
      </c>
      <c r="R115" s="38">
        <f>IFERROR(VLOOKUP(P115,[48]conductor_pz_summary_hftd_23_re!$B$2:$H$3636,7,0),0)/1609</f>
        <v>10.84699143715407</v>
      </c>
      <c r="S115" s="23">
        <f>IFERROR(VLOOKUP(P115,[47]conductor_pz_summary_hftd_23_re!$B$2:$Q$3636,14,FALSE),0)</f>
        <v>159</v>
      </c>
      <c r="T115" s="23">
        <f>IFERROR(U115*Q115,0)</f>
        <v>33.983608945588664</v>
      </c>
      <c r="U115" s="23">
        <f>IFERROR(VLOOKUP(P115,[47]conductor_pz_summary_hftd_23_re!$B$2:$Q$3636,13,FALSE),0)</f>
        <v>0.27855417168515301</v>
      </c>
      <c r="V115" s="79">
        <f>IFERROR(VLOOKUP(P115,conductor_pz_summary_hftd_23_re!$B$2:$N$3636,13,FALSE),0)</f>
        <v>443</v>
      </c>
      <c r="W115" s="65">
        <f>(AJ115*0.67+AK115*0.99+AL115+AM115*0.99)/(SUM(AJ115:AM115))*T115*(F115/R115)</f>
        <v>23.090199653988254</v>
      </c>
      <c r="X115" s="23">
        <v>554</v>
      </c>
      <c r="Y115" s="23" t="s">
        <v>4873</v>
      </c>
      <c r="Z115" s="23" t="s">
        <v>4888</v>
      </c>
      <c r="AA115" s="19" t="s">
        <v>4889</v>
      </c>
      <c r="AB115" s="19" t="s">
        <v>4890</v>
      </c>
      <c r="AC115" s="19" t="s">
        <v>4891</v>
      </c>
      <c r="AD115" s="19" t="s">
        <v>4877</v>
      </c>
      <c r="AE115" s="23">
        <v>5783069</v>
      </c>
      <c r="AF115" s="23" t="s">
        <v>4892</v>
      </c>
      <c r="AG115" s="23">
        <v>115323922</v>
      </c>
      <c r="AH115" s="50">
        <v>35062376</v>
      </c>
      <c r="AI115" s="23" t="s">
        <v>4893</v>
      </c>
      <c r="AJ115" s="23">
        <v>58080</v>
      </c>
      <c r="AK115" s="23">
        <v>0</v>
      </c>
      <c r="AL115" s="23">
        <v>0</v>
      </c>
      <c r="AM115" s="23">
        <v>0</v>
      </c>
      <c r="AO115" s="40" t="s">
        <v>4894</v>
      </c>
      <c r="AP115" s="23">
        <v>58080</v>
      </c>
      <c r="AQ115" s="41">
        <v>11</v>
      </c>
      <c r="AR115" s="42">
        <v>11965840</v>
      </c>
      <c r="AW115" s="23">
        <f>SUM(AT115:AV115)</f>
        <v>0</v>
      </c>
      <c r="AX115" s="41">
        <f>AW115/5280</f>
        <v>0</v>
      </c>
      <c r="AZ115" s="23"/>
      <c r="BA115" s="23"/>
      <c r="BB115" s="23"/>
      <c r="BC115" s="23"/>
      <c r="BD115" s="23"/>
      <c r="BE115" s="23"/>
      <c r="BF115" s="41"/>
      <c r="BG115" s="45"/>
      <c r="BH115" s="42"/>
      <c r="BI115" s="46"/>
    </row>
    <row r="116" spans="1:67" s="19" customFormat="1" x14ac:dyDescent="0.25">
      <c r="A116" s="50">
        <v>35062374</v>
      </c>
      <c r="B116" s="64" t="s">
        <v>5555</v>
      </c>
      <c r="C116" s="23">
        <v>7</v>
      </c>
      <c r="D116" s="23" t="s">
        <v>4871</v>
      </c>
      <c r="E116" s="110">
        <v>2021061</v>
      </c>
      <c r="F116" s="23">
        <v>8.5300000000000011</v>
      </c>
      <c r="G116" s="37">
        <f>F116-K116</f>
        <v>8.5300000000000011</v>
      </c>
      <c r="H116" s="20">
        <v>2021</v>
      </c>
      <c r="I116" s="37"/>
      <c r="J116" s="37"/>
      <c r="K116" s="37">
        <f>SUM(I116:J116)</f>
        <v>0</v>
      </c>
      <c r="L116" s="21">
        <v>25808.23</v>
      </c>
      <c r="M116" s="23" t="s">
        <v>4880</v>
      </c>
      <c r="N116" s="22">
        <v>153652109</v>
      </c>
      <c r="O116" s="19" t="s">
        <v>4025</v>
      </c>
      <c r="P116" s="23" t="s">
        <v>4034</v>
      </c>
      <c r="Q116" s="38">
        <f>IFERROR(VLOOKUP(P116,[47]conductor_pz_summary_hftd_23_re!$B$2:$Q$3636,8,FALSE),0)</f>
        <v>190</v>
      </c>
      <c r="R116" s="38">
        <f>IFERROR(VLOOKUP(P116,[48]conductor_pz_summary_hftd_23_re!$B$2:$H$3636,7,0),0)/1609</f>
        <v>17.868682290698821</v>
      </c>
      <c r="S116" s="23">
        <f>IFERROR(VLOOKUP(P116,[47]conductor_pz_summary_hftd_23_re!$B$2:$Q$3636,14,FALSE),0)</f>
        <v>227</v>
      </c>
      <c r="T116" s="23">
        <f>IFERROR(U116*Q116,0)</f>
        <v>46.134248492928144</v>
      </c>
      <c r="U116" s="23">
        <f>IFERROR(VLOOKUP(P116,[47]conductor_pz_summary_hftd_23_re!$B$2:$Q$3636,13,FALSE),0)</f>
        <v>0.24281183417330601</v>
      </c>
      <c r="V116" s="79">
        <f>IFERROR(VLOOKUP(P116,conductor_pz_summary_hftd_23_re!$B$2:$N$3636,13,FALSE),0)</f>
        <v>487</v>
      </c>
      <c r="W116" s="65">
        <f>(AJ116*0.67+AK116*0.99+AL116+AM116*0.99)/(SUM(AJ116:AM116))*T116*(F116/R116)</f>
        <v>14.755528095050272</v>
      </c>
      <c r="X116" s="23">
        <v>554</v>
      </c>
      <c r="Y116" s="23" t="s">
        <v>4873</v>
      </c>
      <c r="Z116" s="23" t="s">
        <v>4888</v>
      </c>
      <c r="AA116" s="19" t="s">
        <v>4889</v>
      </c>
      <c r="AB116" s="19" t="s">
        <v>4890</v>
      </c>
      <c r="AC116" s="19" t="s">
        <v>4891</v>
      </c>
      <c r="AD116" s="19" t="s">
        <v>4877</v>
      </c>
      <c r="AE116" s="23">
        <v>5783067</v>
      </c>
      <c r="AF116" s="23" t="s">
        <v>4898</v>
      </c>
      <c r="AG116" s="23">
        <v>115323920</v>
      </c>
      <c r="AH116" s="50">
        <v>35062374</v>
      </c>
      <c r="AI116" s="23" t="s">
        <v>4899</v>
      </c>
      <c r="AJ116" s="23">
        <v>45038.400000000001</v>
      </c>
      <c r="AK116" s="23">
        <v>0</v>
      </c>
      <c r="AL116" s="23">
        <v>0</v>
      </c>
      <c r="AM116" s="23">
        <v>0</v>
      </c>
      <c r="AO116" s="40" t="s">
        <v>4900</v>
      </c>
      <c r="AP116" s="23">
        <v>45038.400000000001</v>
      </c>
      <c r="AQ116" s="41">
        <v>8.5299999999999994</v>
      </c>
      <c r="AR116" s="42">
        <v>9171850</v>
      </c>
      <c r="AW116" s="23">
        <f>SUM(AT116:AV116)</f>
        <v>0</v>
      </c>
      <c r="AX116" s="41">
        <f>AW116/5280</f>
        <v>0</v>
      </c>
      <c r="AZ116" s="23"/>
      <c r="BA116" s="23"/>
      <c r="BB116" s="23"/>
      <c r="BC116" s="23"/>
      <c r="BD116" s="23"/>
      <c r="BE116" s="23"/>
      <c r="BF116" s="41"/>
      <c r="BG116" s="45"/>
      <c r="BH116" s="42"/>
      <c r="BI116" s="46"/>
    </row>
    <row r="117" spans="1:67" s="19" customFormat="1" x14ac:dyDescent="0.25">
      <c r="A117" s="50">
        <v>35062375</v>
      </c>
      <c r="B117" s="64" t="s">
        <v>5555</v>
      </c>
      <c r="C117" s="23">
        <v>7</v>
      </c>
      <c r="D117" s="23" t="s">
        <v>4871</v>
      </c>
      <c r="E117" s="110">
        <v>2021062</v>
      </c>
      <c r="F117" s="23">
        <v>12.03</v>
      </c>
      <c r="G117" s="37">
        <f>F117-K117</f>
        <v>12.03</v>
      </c>
      <c r="H117" s="20">
        <v>2021</v>
      </c>
      <c r="I117" s="37"/>
      <c r="J117" s="37"/>
      <c r="K117" s="37">
        <f>SUM(I117:J117)</f>
        <v>0</v>
      </c>
      <c r="L117" s="21">
        <v>3790.03</v>
      </c>
      <c r="M117" s="23" t="s">
        <v>4880</v>
      </c>
      <c r="N117" s="22">
        <v>153652109</v>
      </c>
      <c r="O117" s="19" t="s">
        <v>4025</v>
      </c>
      <c r="P117" s="23" t="s">
        <v>4034</v>
      </c>
      <c r="Q117" s="38">
        <f>IFERROR(VLOOKUP(P117,[47]conductor_pz_summary_hftd_23_re!$B$2:$Q$3636,8,FALSE),0)</f>
        <v>190</v>
      </c>
      <c r="R117" s="38">
        <f>IFERROR(VLOOKUP(P117,[48]conductor_pz_summary_hftd_23_re!$B$2:$H$3636,7,0),0)/1609</f>
        <v>17.868682290698821</v>
      </c>
      <c r="S117" s="23">
        <f>IFERROR(VLOOKUP(P117,[47]conductor_pz_summary_hftd_23_re!$B$2:$Q$3636,14,FALSE),0)</f>
        <v>227</v>
      </c>
      <c r="T117" s="23">
        <f>IFERROR(U117*Q117,0)</f>
        <v>46.134248492928144</v>
      </c>
      <c r="U117" s="23">
        <f>IFERROR(VLOOKUP(P117,[47]conductor_pz_summary_hftd_23_re!$B$2:$Q$3636,13,FALSE),0)</f>
        <v>0.24281183417330601</v>
      </c>
      <c r="V117" s="79">
        <f>IFERROR(VLOOKUP(P117,conductor_pz_summary_hftd_23_re!$B$2:$N$3636,13,FALSE),0)</f>
        <v>487</v>
      </c>
      <c r="W117" s="65">
        <f>(AJ117*0.67+AK117*0.99+AL117+AM117*0.99)/(SUM(AJ117:AM117))*T117*(F117/R117)</f>
        <v>20.80996517977195</v>
      </c>
      <c r="X117" s="23">
        <v>554</v>
      </c>
      <c r="Y117" s="23" t="s">
        <v>4873</v>
      </c>
      <c r="Z117" s="23" t="s">
        <v>4888</v>
      </c>
      <c r="AA117" s="19" t="s">
        <v>4889</v>
      </c>
      <c r="AB117" s="19" t="s">
        <v>4890</v>
      </c>
      <c r="AC117" s="19" t="s">
        <v>4891</v>
      </c>
      <c r="AD117" s="19" t="s">
        <v>4877</v>
      </c>
      <c r="AE117" s="23">
        <v>5783068</v>
      </c>
      <c r="AF117" s="23" t="s">
        <v>4895</v>
      </c>
      <c r="AG117" s="23">
        <v>115323921</v>
      </c>
      <c r="AH117" s="50">
        <v>35062375</v>
      </c>
      <c r="AI117" s="23" t="s">
        <v>4896</v>
      </c>
      <c r="AJ117" s="23">
        <v>63518.400000000001</v>
      </c>
      <c r="AK117" s="23">
        <v>0</v>
      </c>
      <c r="AL117" s="23">
        <v>0</v>
      </c>
      <c r="AM117" s="23">
        <v>0</v>
      </c>
      <c r="AO117" s="40" t="s">
        <v>4897</v>
      </c>
      <c r="AP117" s="23">
        <v>63518.400000000001</v>
      </c>
      <c r="AQ117" s="41">
        <v>12.03</v>
      </c>
      <c r="AR117" s="42">
        <v>13033162</v>
      </c>
      <c r="AW117" s="23">
        <f>SUM(AT117:AV117)</f>
        <v>0</v>
      </c>
      <c r="AX117" s="41">
        <f>AW117/5280</f>
        <v>0</v>
      </c>
      <c r="AZ117" s="23"/>
      <c r="BA117" s="23"/>
      <c r="BB117" s="23"/>
      <c r="BC117" s="23"/>
      <c r="BD117" s="23"/>
      <c r="BE117" s="23"/>
      <c r="BF117" s="41"/>
      <c r="BG117" s="45"/>
      <c r="BH117" s="42"/>
      <c r="BI117" s="46"/>
    </row>
    <row r="118" spans="1:67" s="19" customFormat="1" x14ac:dyDescent="0.25">
      <c r="A118" s="50">
        <v>31354988</v>
      </c>
      <c r="B118" s="64" t="s">
        <v>5555</v>
      </c>
      <c r="C118" s="23">
        <v>5</v>
      </c>
      <c r="D118" s="23" t="s">
        <v>4871</v>
      </c>
      <c r="E118" s="110">
        <v>2021063</v>
      </c>
      <c r="F118" s="37">
        <v>1.9034090909090908</v>
      </c>
      <c r="G118" s="37">
        <f>F118-K118</f>
        <v>1.9034090909090908</v>
      </c>
      <c r="H118" s="20">
        <v>2021</v>
      </c>
      <c r="I118" s="37"/>
      <c r="J118" s="37"/>
      <c r="K118" s="37">
        <f>SUM(I118:J118)</f>
        <v>0</v>
      </c>
      <c r="L118" s="21">
        <v>2877.76</v>
      </c>
      <c r="M118" s="23" t="s">
        <v>4880</v>
      </c>
      <c r="N118" s="22">
        <v>42301101</v>
      </c>
      <c r="O118" s="19" t="s">
        <v>4420</v>
      </c>
      <c r="P118" s="23" t="s">
        <v>4421</v>
      </c>
      <c r="Q118" s="38">
        <f>IFERROR(VLOOKUP(P118,[47]conductor_pz_summary_hftd_23_re!$B$2:$Q$3636,8,FALSE),0)</f>
        <v>98</v>
      </c>
      <c r="R118" s="38">
        <f>IFERROR(VLOOKUP(P118,[48]conductor_pz_summary_hftd_23_re!$B$2:$H$3636,7,0),0)/1609</f>
        <v>4.1725552614418646</v>
      </c>
      <c r="S118" s="23">
        <f>IFERROR(VLOOKUP(P118,[47]conductor_pz_summary_hftd_23_re!$B$2:$Q$3636,14,FALSE),0)</f>
        <v>338</v>
      </c>
      <c r="T118" s="23">
        <f>IFERROR(U118*Q118,0)</f>
        <v>19.292329346025554</v>
      </c>
      <c r="U118" s="23">
        <f>IFERROR(VLOOKUP(P118,[47]conductor_pz_summary_hftd_23_re!$B$2:$Q$3636,13,FALSE),0)</f>
        <v>0.196860503530873</v>
      </c>
      <c r="V118" s="79">
        <f>IFERROR(VLOOKUP(P118,conductor_pz_summary_hftd_23_re!$B$2:$N$3636,13,FALSE),0)</f>
        <v>448</v>
      </c>
      <c r="W118" s="65">
        <f>(AJ118*0.67+AK118*0.99+AL118+AM118*0.99)/(SUM(AJ118:AM118))*T118*(F118/R118)</f>
        <v>5.8964349541204433</v>
      </c>
      <c r="X118" s="23">
        <v>2350</v>
      </c>
      <c r="Y118" s="23" t="s">
        <v>4912</v>
      </c>
      <c r="Z118" s="23" t="s">
        <v>4913</v>
      </c>
      <c r="AA118" s="19" t="s">
        <v>4914</v>
      </c>
      <c r="AB118" s="19" t="s">
        <v>4902</v>
      </c>
      <c r="AC118" s="19" t="s">
        <v>4883</v>
      </c>
      <c r="AD118" s="19" t="s">
        <v>4903</v>
      </c>
      <c r="AE118" s="23">
        <v>5530168</v>
      </c>
      <c r="AF118" s="23"/>
      <c r="AG118" s="23">
        <v>113676059</v>
      </c>
      <c r="AH118" s="50">
        <v>31354988</v>
      </c>
      <c r="AI118" s="23" t="s">
        <v>4915</v>
      </c>
      <c r="AJ118" s="23">
        <v>10050</v>
      </c>
      <c r="AK118" s="23">
        <v>0</v>
      </c>
      <c r="AL118" s="23">
        <v>0</v>
      </c>
      <c r="AM118" s="23">
        <v>0</v>
      </c>
      <c r="AP118" s="23"/>
      <c r="AQ118" s="41">
        <v>0</v>
      </c>
      <c r="AR118" s="42"/>
      <c r="AW118" s="23">
        <f>SUM(AT118:AV118)</f>
        <v>0</v>
      </c>
      <c r="AX118" s="41">
        <f>AW118/5280</f>
        <v>0</v>
      </c>
      <c r="AZ118" s="23"/>
      <c r="BA118" s="23"/>
      <c r="BB118" s="23"/>
      <c r="BC118" s="23"/>
      <c r="BD118" s="23"/>
      <c r="BE118" s="23"/>
      <c r="BF118" s="41"/>
      <c r="BG118" s="45"/>
      <c r="BH118" s="42"/>
      <c r="BI118" s="46"/>
    </row>
    <row r="119" spans="1:67" s="19" customFormat="1" x14ac:dyDescent="0.25">
      <c r="A119" s="50">
        <v>35054184</v>
      </c>
      <c r="B119" s="64" t="s">
        <v>5555</v>
      </c>
      <c r="C119" s="23">
        <v>7</v>
      </c>
      <c r="D119" s="23" t="s">
        <v>4871</v>
      </c>
      <c r="E119" s="110">
        <v>2021064</v>
      </c>
      <c r="F119" s="23">
        <v>4.9000000000000004</v>
      </c>
      <c r="G119" s="37">
        <f>F119-K119</f>
        <v>4.9000000000000004</v>
      </c>
      <c r="H119" s="20">
        <v>2021</v>
      </c>
      <c r="I119" s="37"/>
      <c r="J119" s="37"/>
      <c r="K119" s="37">
        <f>SUM(I119:J119)</f>
        <v>0</v>
      </c>
      <c r="L119" s="21">
        <v>3334.77</v>
      </c>
      <c r="M119" s="23" t="s">
        <v>4880</v>
      </c>
      <c r="N119" s="22">
        <v>152471101</v>
      </c>
      <c r="O119" s="19" t="s">
        <v>932</v>
      </c>
      <c r="P119" s="23" t="s">
        <v>931</v>
      </c>
      <c r="Q119" s="38">
        <f>IFERROR(VLOOKUP(P119,[47]conductor_pz_summary_hftd_23_re!$B$2:$Q$3636,8,FALSE),0)</f>
        <v>76</v>
      </c>
      <c r="R119" s="38">
        <f>IFERROR(VLOOKUP(P119,[48]conductor_pz_summary_hftd_23_re!$B$2:$H$3636,7,0),0)/1609</f>
        <v>9.1336080573515233</v>
      </c>
      <c r="S119" s="23">
        <f>IFERROR(VLOOKUP(P119,[47]conductor_pz_summary_hftd_23_re!$B$2:$Q$3636,14,FALSE),0)</f>
        <v>606</v>
      </c>
      <c r="T119" s="23">
        <f>IFERROR(U119*Q119,0)</f>
        <v>9.8207301508378553</v>
      </c>
      <c r="U119" s="23">
        <f>IFERROR(VLOOKUP(P119,[47]conductor_pz_summary_hftd_23_re!$B$2:$Q$3636,13,FALSE),0)</f>
        <v>0.129220133563656</v>
      </c>
      <c r="V119" s="79">
        <f>IFERROR(VLOOKUP(P119,conductor_pz_summary_hftd_23_re!$B$2:$N$3636,13,FALSE),0)</f>
        <v>1358</v>
      </c>
      <c r="W119" s="65">
        <f>(AJ119*0.67+AK119*0.99+AL119+AM119*0.99)/(SUM(AJ119:AM119))*T119*(F119/R119)</f>
        <v>3.5299803629355382</v>
      </c>
      <c r="X119" s="23">
        <v>198</v>
      </c>
      <c r="Y119" s="23" t="s">
        <v>4873</v>
      </c>
      <c r="Z119" s="23" t="s">
        <v>4888</v>
      </c>
      <c r="AA119" s="19" t="s">
        <v>4940</v>
      </c>
      <c r="AB119" s="19" t="s">
        <v>4941</v>
      </c>
      <c r="AC119" s="19" t="s">
        <v>4891</v>
      </c>
      <c r="AD119" s="19" t="s">
        <v>4877</v>
      </c>
      <c r="AE119" s="23">
        <v>5530173</v>
      </c>
      <c r="AF119" s="23"/>
      <c r="AG119" s="23">
        <v>114941996</v>
      </c>
      <c r="AH119" s="50">
        <v>35054184</v>
      </c>
      <c r="AI119" s="23" t="s">
        <v>4942</v>
      </c>
      <c r="AJ119" s="23">
        <v>25872</v>
      </c>
      <c r="AK119" s="23">
        <v>0</v>
      </c>
      <c r="AL119" s="23">
        <v>0</v>
      </c>
      <c r="AM119" s="23">
        <v>0</v>
      </c>
      <c r="AN119" s="51" t="s">
        <v>5419</v>
      </c>
      <c r="AO119" s="40" t="s">
        <v>4943</v>
      </c>
      <c r="AP119" s="23">
        <v>25872.000000000004</v>
      </c>
      <c r="AQ119" s="41">
        <v>4.9000000000000004</v>
      </c>
      <c r="AR119" s="42">
        <v>5227500</v>
      </c>
      <c r="AW119" s="23">
        <f>SUM(AT119:AV119)</f>
        <v>0</v>
      </c>
      <c r="AX119" s="41">
        <f>AW119/5280</f>
        <v>0</v>
      </c>
      <c r="AZ119" s="79"/>
      <c r="BA119" s="79"/>
      <c r="BB119" s="23"/>
      <c r="BC119" s="23"/>
      <c r="BD119" s="23"/>
      <c r="BE119" s="23"/>
      <c r="BF119" s="41"/>
      <c r="BG119" s="45"/>
      <c r="BH119" s="42"/>
      <c r="BI119" s="46"/>
    </row>
    <row r="120" spans="1:67" s="19" customFormat="1" x14ac:dyDescent="0.25">
      <c r="A120" s="35">
        <v>35026643</v>
      </c>
      <c r="B120" s="64" t="s">
        <v>5555</v>
      </c>
      <c r="C120" s="23">
        <v>7</v>
      </c>
      <c r="D120" s="23" t="s">
        <v>4871</v>
      </c>
      <c r="E120" s="110">
        <v>2021065</v>
      </c>
      <c r="F120" s="23">
        <v>1.4019999999999999</v>
      </c>
      <c r="G120" s="37">
        <f>F120-K120</f>
        <v>1.4019999999999999</v>
      </c>
      <c r="H120" s="20">
        <v>2021</v>
      </c>
      <c r="I120" s="37"/>
      <c r="J120" s="37"/>
      <c r="K120" s="37">
        <f>SUM(I120:J120)</f>
        <v>0</v>
      </c>
      <c r="L120" s="21">
        <v>46082.68</v>
      </c>
      <c r="M120" s="23" t="s">
        <v>4880</v>
      </c>
      <c r="N120" s="22">
        <v>152261105</v>
      </c>
      <c r="O120" s="19" t="s">
        <v>1144</v>
      </c>
      <c r="P120" s="23" t="s">
        <v>1146</v>
      </c>
      <c r="Q120" s="38">
        <f>IFERROR(VLOOKUP(P120,[47]conductor_pz_summary_hftd_23_re!$B$2:$Q$3636,8,FALSE),0)</f>
        <v>417</v>
      </c>
      <c r="R120" s="38">
        <f>IFERROR(VLOOKUP(P120,[48]conductor_pz_summary_hftd_23_re!$B$2:$H$3636,7,0),0)/1609</f>
        <v>37.481591001677998</v>
      </c>
      <c r="S120" s="23">
        <f>IFERROR(VLOOKUP(P120,[47]conductor_pz_summary_hftd_23_re!$B$2:$Q$3636,14,FALSE),0)</f>
        <v>666</v>
      </c>
      <c r="T120" s="23">
        <f>IFERROR(U120*Q120,0)</f>
        <v>48.457615439609938</v>
      </c>
      <c r="U120" s="23">
        <f>IFERROR(VLOOKUP(P120,[47]conductor_pz_summary_hftd_23_re!$B$2:$Q$3636,13,FALSE),0)</f>
        <v>0.11620531280481999</v>
      </c>
      <c r="V120" s="79">
        <f>IFERROR(VLOOKUP(P120,conductor_pz_summary_hftd_23_re!$B$2:$N$3636,13,FALSE),0)</f>
        <v>755</v>
      </c>
      <c r="W120" s="65">
        <f>(AJ120*0.67+AK120*0.99+AL120+AM120*0.99)/(SUM(AJ120:AM120))*T120*(F120/R120)</f>
        <v>1.2144142036288004</v>
      </c>
      <c r="X120" s="23">
        <v>957</v>
      </c>
      <c r="Y120" s="23" t="s">
        <v>4912</v>
      </c>
      <c r="Z120" s="23" t="s">
        <v>4913</v>
      </c>
      <c r="AA120" s="19" t="s">
        <v>4956</v>
      </c>
      <c r="AB120" s="19" t="s">
        <v>4890</v>
      </c>
      <c r="AC120" s="19" t="s">
        <v>4891</v>
      </c>
      <c r="AD120" s="19" t="s">
        <v>4877</v>
      </c>
      <c r="AE120" s="23">
        <v>5530173</v>
      </c>
      <c r="AF120" s="23"/>
      <c r="AG120" s="23">
        <v>114258488</v>
      </c>
      <c r="AH120" s="35">
        <v>35026643</v>
      </c>
      <c r="AI120" s="23" t="s">
        <v>4957</v>
      </c>
      <c r="AJ120" s="23">
        <v>7400</v>
      </c>
      <c r="AK120" s="23">
        <v>0</v>
      </c>
      <c r="AL120" s="23">
        <v>0</v>
      </c>
      <c r="AM120" s="23">
        <v>0</v>
      </c>
      <c r="AO120" s="57" t="s">
        <v>4958</v>
      </c>
      <c r="AP120" s="23">
        <v>7400</v>
      </c>
      <c r="AQ120" s="41">
        <v>1.4015151515151516</v>
      </c>
      <c r="AR120" s="42">
        <v>740000</v>
      </c>
      <c r="AW120" s="23">
        <f>SUM(AT120:AV120)</f>
        <v>0</v>
      </c>
      <c r="AX120" s="41">
        <f>AW120/5280</f>
        <v>0</v>
      </c>
      <c r="AZ120" s="79"/>
      <c r="BA120" s="79"/>
      <c r="BB120" s="23"/>
      <c r="BC120" s="23"/>
      <c r="BD120" s="23"/>
      <c r="BE120" s="23"/>
      <c r="BF120" s="41"/>
      <c r="BG120" s="45"/>
      <c r="BH120" s="42"/>
      <c r="BI120" s="46"/>
    </row>
    <row r="121" spans="1:67" s="19" customFormat="1" x14ac:dyDescent="0.25">
      <c r="A121" s="59" t="s">
        <v>5632</v>
      </c>
      <c r="B121" s="64" t="s">
        <v>5555</v>
      </c>
      <c r="C121" s="23">
        <v>7</v>
      </c>
      <c r="D121" s="23" t="s">
        <v>4871</v>
      </c>
      <c r="E121" s="110">
        <v>2021067</v>
      </c>
      <c r="F121" s="23">
        <v>0.59</v>
      </c>
      <c r="G121" s="37">
        <f>F121-K121</f>
        <v>0.59</v>
      </c>
      <c r="H121" s="20">
        <v>2021</v>
      </c>
      <c r="I121" s="37"/>
      <c r="J121" s="37"/>
      <c r="K121" s="37">
        <f>SUM(I121:J121)</f>
        <v>0</v>
      </c>
      <c r="L121" s="21">
        <v>3720.44</v>
      </c>
      <c r="M121" s="23" t="s">
        <v>4880</v>
      </c>
      <c r="N121" s="22">
        <v>163451701</v>
      </c>
      <c r="O121" s="19" t="s">
        <v>1512</v>
      </c>
      <c r="P121" s="23" t="s">
        <v>1513</v>
      </c>
      <c r="Q121" s="38">
        <f>IFERROR(VLOOKUP(P121,[47]conductor_pz_summary_hftd_23_re!$B$2:$Q$3636,8,FALSE),0)</f>
        <v>152</v>
      </c>
      <c r="R121" s="38">
        <f>IFERROR(VLOOKUP(P121,[48]conductor_pz_summary_hftd_23_re!$B$2:$H$3636,7,0),0)/1609</f>
        <v>15.260541400482287</v>
      </c>
      <c r="S121" s="23">
        <f>IFERROR(VLOOKUP(P121,[47]conductor_pz_summary_hftd_23_re!$B$2:$Q$3636,14,FALSE),0)</f>
        <v>721</v>
      </c>
      <c r="T121" s="23">
        <f>IFERROR(U121*Q121,0)</f>
        <v>16.354568203486327</v>
      </c>
      <c r="U121" s="23">
        <f>IFERROR(VLOOKUP(P121,[47]conductor_pz_summary_hftd_23_re!$B$2:$Q$3636,13,FALSE),0)</f>
        <v>0.10759584344398899</v>
      </c>
      <c r="V121" s="79">
        <f>IFERROR(VLOOKUP(P121,conductor_pz_summary_hftd_23_re!$B$2:$N$3636,13,FALSE),0)</f>
        <v>564</v>
      </c>
      <c r="W121" s="65">
        <f>(AJ121*0.67+AK121*0.99+AL121+AM121*0.99)/(SUM(AJ121:AM121))*T121*(F121/R121)</f>
        <v>0.42363902047628726</v>
      </c>
      <c r="X121" s="23">
        <v>1409</v>
      </c>
      <c r="Y121" s="23" t="s">
        <v>4873</v>
      </c>
      <c r="Z121" s="23" t="s">
        <v>4913</v>
      </c>
      <c r="AA121" s="19" t="s">
        <v>4960</v>
      </c>
      <c r="AB121" s="19" t="s">
        <v>4961</v>
      </c>
      <c r="AC121" s="19" t="s">
        <v>4962</v>
      </c>
      <c r="AD121" s="19" t="s">
        <v>4963</v>
      </c>
      <c r="AE121" s="23">
        <v>5530176</v>
      </c>
      <c r="AF121" s="23"/>
      <c r="AG121" s="23">
        <v>116475141</v>
      </c>
      <c r="AH121" s="59">
        <v>35075103</v>
      </c>
      <c r="AI121" s="23" t="s">
        <v>4964</v>
      </c>
      <c r="AJ121" s="23">
        <v>3115</v>
      </c>
      <c r="AK121" s="23">
        <v>0</v>
      </c>
      <c r="AL121" s="23">
        <v>0</v>
      </c>
      <c r="AM121" s="23">
        <v>0</v>
      </c>
      <c r="AO121" s="40" t="s">
        <v>4965</v>
      </c>
      <c r="AP121" s="23">
        <v>3115</v>
      </c>
      <c r="AQ121" s="41">
        <v>0.58996212121212122</v>
      </c>
      <c r="AR121" s="42">
        <v>623000</v>
      </c>
      <c r="AW121" s="23">
        <f>SUM(AT121:AV121)</f>
        <v>0</v>
      </c>
      <c r="AX121" s="41">
        <f>AW121/5280</f>
        <v>0</v>
      </c>
      <c r="AZ121" s="23"/>
      <c r="BA121" s="23"/>
      <c r="BB121" s="23"/>
      <c r="BC121" s="23"/>
      <c r="BD121" s="23"/>
      <c r="BE121" s="23"/>
      <c r="BF121" s="41"/>
      <c r="BG121" s="45"/>
      <c r="BH121" s="42"/>
      <c r="BI121" s="46"/>
    </row>
    <row r="122" spans="1:67" s="19" customFormat="1" x14ac:dyDescent="0.25">
      <c r="A122" s="59" t="s">
        <v>5465</v>
      </c>
      <c r="B122" s="106" t="s">
        <v>5467</v>
      </c>
      <c r="C122" s="23">
        <v>0</v>
      </c>
      <c r="D122" s="23" t="s">
        <v>4871</v>
      </c>
      <c r="E122" s="110">
        <v>2021068</v>
      </c>
      <c r="F122" s="23">
        <v>31.8</v>
      </c>
      <c r="G122" s="37">
        <f>F122-K122</f>
        <v>31.8</v>
      </c>
      <c r="H122" s="20">
        <v>2021</v>
      </c>
      <c r="I122" s="37"/>
      <c r="J122" s="37"/>
      <c r="K122" s="37">
        <f>SUM(I122:J122)</f>
        <v>0</v>
      </c>
      <c r="L122" s="21">
        <v>0</v>
      </c>
      <c r="M122" s="23" t="s">
        <v>4880</v>
      </c>
      <c r="N122" s="22" t="s">
        <v>5392</v>
      </c>
      <c r="O122" s="102" t="s">
        <v>5466</v>
      </c>
      <c r="P122" s="23" t="s">
        <v>5466</v>
      </c>
      <c r="Q122" s="38">
        <f>IFERROR(VLOOKUP(P122,[47]conductor_pz_summary_hftd_23_re!$B$2:$Q$3636,8,FALSE),0)</f>
        <v>0</v>
      </c>
      <c r="R122" s="38">
        <f>IFERROR(VLOOKUP(P122,[48]conductor_pz_summary_hftd_23_re!$B$2:$H$3636,7,0),0)/1609</f>
        <v>0</v>
      </c>
      <c r="S122" s="23">
        <f>IFERROR(VLOOKUP(P122,[47]conductor_pz_summary_hftd_23_re!$B$2:$Q$3636,14,FALSE),0)</f>
        <v>0</v>
      </c>
      <c r="T122" s="23">
        <f>IFERROR(U122*Q122,0)</f>
        <v>0</v>
      </c>
      <c r="U122" s="23">
        <f>IFERROR(VLOOKUP(P122,[47]conductor_pz_summary_hftd_23_re!$B$2:$Q$3636,13,FALSE),0)</f>
        <v>0</v>
      </c>
      <c r="V122" s="79">
        <f>IFERROR(VLOOKUP(P122,conductor_pz_summary_hftd_23_re!$B$2:$N$3636,13,FALSE),0)</f>
        <v>0</v>
      </c>
      <c r="W122" s="65" t="e">
        <f>(AJ122*0.67+AK122*0.99+AL122+AM122*0.99)/(SUM(AJ122:AM122))*T122*(F122/R122)</f>
        <v>#DIV/0!</v>
      </c>
      <c r="X122" s="23"/>
      <c r="Y122" s="23"/>
      <c r="Z122" s="23"/>
      <c r="AA122" s="19" t="s">
        <v>5392</v>
      </c>
      <c r="AB122" s="19" t="s">
        <v>5392</v>
      </c>
      <c r="AC122" s="19" t="s">
        <v>5392</v>
      </c>
      <c r="AD122" s="19" t="s">
        <v>5392</v>
      </c>
      <c r="AE122" s="23"/>
      <c r="AF122" s="23"/>
      <c r="AG122" s="23"/>
      <c r="AH122" s="59"/>
      <c r="AI122" s="23" t="s">
        <v>5466</v>
      </c>
      <c r="AJ122" s="23"/>
      <c r="AK122" s="23"/>
      <c r="AL122" s="23"/>
      <c r="AM122" s="23"/>
      <c r="AO122" s="51"/>
      <c r="AP122" s="23"/>
      <c r="AQ122" s="41"/>
      <c r="AR122" s="42"/>
      <c r="AW122" s="23">
        <f>SUM(AT122:AV122)</f>
        <v>0</v>
      </c>
      <c r="AX122" s="41"/>
      <c r="AZ122" s="23"/>
      <c r="BA122" s="23"/>
      <c r="BB122" s="23"/>
      <c r="BC122" s="23"/>
      <c r="BD122" s="23"/>
      <c r="BE122" s="23"/>
      <c r="BF122" s="41"/>
      <c r="BG122" s="45"/>
      <c r="BH122" s="42"/>
      <c r="BI122" s="46"/>
    </row>
    <row r="123" spans="1:67" s="19" customFormat="1" x14ac:dyDescent="0.25">
      <c r="A123" s="23">
        <v>77779999</v>
      </c>
      <c r="B123" s="107" t="s">
        <v>5563</v>
      </c>
      <c r="C123" s="23">
        <v>1</v>
      </c>
      <c r="D123" s="23" t="s">
        <v>4871</v>
      </c>
      <c r="E123" s="110">
        <v>2021069</v>
      </c>
      <c r="F123" s="23">
        <v>7.9</v>
      </c>
      <c r="G123" s="37">
        <f>F123-K123</f>
        <v>7.9</v>
      </c>
      <c r="H123" s="23">
        <v>2021</v>
      </c>
      <c r="K123" s="37">
        <f>SUM(I123:J123)</f>
        <v>0</v>
      </c>
      <c r="L123" s="21">
        <v>0</v>
      </c>
      <c r="M123" s="23" t="s">
        <v>4880</v>
      </c>
      <c r="N123" s="22">
        <v>102781101</v>
      </c>
      <c r="O123" s="19" t="s">
        <v>1356</v>
      </c>
      <c r="P123" s="23" t="s">
        <v>1360</v>
      </c>
      <c r="Q123" s="38">
        <f>IFERROR(VLOOKUP(P123,[47]conductor_pz_summary_hftd_23_re!$B$2:$Q$3636,8,FALSE),0)</f>
        <v>67</v>
      </c>
      <c r="R123" s="38">
        <f>IFERROR(VLOOKUP(P123,[48]conductor_pz_summary_hftd_23_re!$B$2:$H$3636,7,0),0)/1609</f>
        <v>13.240185299600622</v>
      </c>
      <c r="S123" s="23">
        <f>IFERROR(VLOOKUP(P123,[47]conductor_pz_summary_hftd_23_re!$B$2:$Q$3636,14,FALSE),0)</f>
        <v>340</v>
      </c>
      <c r="T123" s="23">
        <f>IFERROR(U123*Q123,0)</f>
        <v>13.138836686313075</v>
      </c>
      <c r="U123" s="23">
        <f>IFERROR(VLOOKUP(P123,[47]conductor_pz_summary_hftd_23_re!$B$2:$Q$3636,13,FALSE),0)</f>
        <v>0.19610204009422499</v>
      </c>
      <c r="V123" s="79">
        <f>IFERROR(VLOOKUP(P123,conductor_pz_summary_hftd_23_re!$B$2:$N$3636,13,FALSE),0)</f>
        <v>40</v>
      </c>
      <c r="W123" s="65">
        <f>(AJ123*0.67+AK123*0.99+AL123+AM123*0.99)/(SUM(AJ123:AM123))*T123*(F123/R123)</f>
        <v>7.7611332015688781</v>
      </c>
      <c r="Y123" s="23"/>
      <c r="Z123" s="23" t="s">
        <v>5203</v>
      </c>
      <c r="AI123" s="23" t="s">
        <v>5204</v>
      </c>
      <c r="AJ123" s="23">
        <v>0</v>
      </c>
      <c r="AK123" s="23">
        <v>0</v>
      </c>
      <c r="AL123" s="23">
        <v>0</v>
      </c>
      <c r="AM123" s="23">
        <v>41712</v>
      </c>
      <c r="AP123" s="23"/>
      <c r="AW123" s="23">
        <f>SUM(AT123:AV123)</f>
        <v>0</v>
      </c>
      <c r="AX123" s="41">
        <f>AW123/5280</f>
        <v>0</v>
      </c>
    </row>
    <row r="124" spans="1:67" s="19" customFormat="1" x14ac:dyDescent="0.25">
      <c r="A124" s="65">
        <v>35217274</v>
      </c>
      <c r="B124" s="107" t="s">
        <v>5564</v>
      </c>
      <c r="C124" s="79">
        <v>5</v>
      </c>
      <c r="D124" s="79" t="s">
        <v>4871</v>
      </c>
      <c r="E124" s="110">
        <v>2021070</v>
      </c>
      <c r="F124" s="79">
        <v>2.52</v>
      </c>
      <c r="G124" s="37">
        <f>F124-K124</f>
        <v>2.52</v>
      </c>
      <c r="H124" s="100">
        <v>2021</v>
      </c>
      <c r="I124" s="65"/>
      <c r="J124" s="65"/>
      <c r="K124" s="37">
        <f>SUM(I124:J124)</f>
        <v>0</v>
      </c>
      <c r="L124" s="21">
        <v>0</v>
      </c>
      <c r="M124" s="80" t="s">
        <v>4880</v>
      </c>
      <c r="N124" s="22">
        <v>24101103</v>
      </c>
      <c r="O124" s="101" t="s">
        <v>1743</v>
      </c>
      <c r="P124" s="80" t="s">
        <v>1749</v>
      </c>
      <c r="Q124" s="38">
        <f>IFERROR(VLOOKUP(P124,[47]conductor_pz_summary_hftd_23_re!$B$2:$Q$3636,8,FALSE),0)</f>
        <v>150</v>
      </c>
      <c r="R124" s="38">
        <f>IFERROR(VLOOKUP(P124,[48]conductor_pz_summary_hftd_23_re!$B$2:$H$3636,7,0),0)/1609</f>
        <v>15.567907158765507</v>
      </c>
      <c r="S124" s="23">
        <f>IFERROR(VLOOKUP(P124,[47]conductor_pz_summary_hftd_23_re!$B$2:$Q$3636,14,FALSE),0)</f>
        <v>2055</v>
      </c>
      <c r="T124" s="23">
        <f>IFERROR(U124*Q124,0)</f>
        <v>1.176723195926058</v>
      </c>
      <c r="U124" s="23">
        <f>IFERROR(VLOOKUP(P124,[47]conductor_pz_summary_hftd_23_re!$B$2:$Q$3636,13,FALSE),0)</f>
        <v>7.8448213061737201E-3</v>
      </c>
      <c r="V124" s="79">
        <f>IFERROR(VLOOKUP(P124,conductor_pz_summary_hftd_23_re!$B$2:$N$3636,13,FALSE),0)</f>
        <v>1975</v>
      </c>
      <c r="W124" s="65">
        <f>(AJ124*0.67+AK124*0.99+AL124+AM124*0.99)/(SUM(AJ124:AM124))*T124*(F124/R124)</f>
        <v>0.1885731331294194</v>
      </c>
      <c r="X124" s="65"/>
      <c r="Y124" s="65"/>
      <c r="Z124" s="79" t="s">
        <v>5203</v>
      </c>
      <c r="AA124" s="101" t="s">
        <v>5515</v>
      </c>
      <c r="AB124" s="101" t="s">
        <v>5516</v>
      </c>
      <c r="AC124" s="101" t="s">
        <v>5157</v>
      </c>
      <c r="AD124" s="101" t="s">
        <v>5039</v>
      </c>
      <c r="AE124" s="65">
        <v>5794202</v>
      </c>
      <c r="AF124" s="79" t="s">
        <v>5326</v>
      </c>
      <c r="AG124" s="79">
        <v>120048101</v>
      </c>
      <c r="AH124" s="79">
        <v>35217274</v>
      </c>
      <c r="AI124" s="79" t="s">
        <v>5327</v>
      </c>
      <c r="AJ124" s="79">
        <v>0</v>
      </c>
      <c r="AK124" s="79">
        <v>133050.6</v>
      </c>
      <c r="AL124" s="65"/>
      <c r="AM124" s="65"/>
      <c r="AN124" s="65"/>
      <c r="AO124" s="51" t="s">
        <v>5538</v>
      </c>
      <c r="AP124" s="65">
        <f>AQ124*5280</f>
        <v>13305.6</v>
      </c>
      <c r="AQ124" s="79">
        <v>2.52</v>
      </c>
      <c r="AR124" s="99">
        <v>4621000</v>
      </c>
      <c r="AS124" s="65"/>
      <c r="AT124" s="65"/>
      <c r="AU124" s="65">
        <v>13305.6</v>
      </c>
      <c r="AV124" s="65">
        <v>0</v>
      </c>
      <c r="AW124" s="23">
        <f>SUM(AT124:AV124)</f>
        <v>13305.6</v>
      </c>
      <c r="AX124" s="41">
        <f>AW124/5280</f>
        <v>2.52</v>
      </c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</row>
    <row r="125" spans="1:67" s="19" customFormat="1" x14ac:dyDescent="0.25">
      <c r="A125" s="65">
        <v>35217275</v>
      </c>
      <c r="B125" s="107" t="s">
        <v>5564</v>
      </c>
      <c r="C125" s="79">
        <v>5</v>
      </c>
      <c r="D125" s="79" t="s">
        <v>4871</v>
      </c>
      <c r="E125" s="110">
        <v>2021071</v>
      </c>
      <c r="F125" s="79">
        <v>2.75</v>
      </c>
      <c r="G125" s="37">
        <f>F125-K125</f>
        <v>2.75</v>
      </c>
      <c r="H125" s="100">
        <v>2021</v>
      </c>
      <c r="I125" s="65"/>
      <c r="J125" s="65"/>
      <c r="K125" s="37">
        <f>SUM(I125:J125)</f>
        <v>0</v>
      </c>
      <c r="L125" s="21">
        <v>0</v>
      </c>
      <c r="M125" s="80" t="s">
        <v>4880</v>
      </c>
      <c r="N125" s="22">
        <v>24101103</v>
      </c>
      <c r="O125" s="101" t="s">
        <v>1743</v>
      </c>
      <c r="P125" s="80" t="s">
        <v>1749</v>
      </c>
      <c r="Q125" s="38">
        <f>IFERROR(VLOOKUP(P125,[47]conductor_pz_summary_hftd_23_re!$B$2:$Q$3636,8,FALSE),0)</f>
        <v>150</v>
      </c>
      <c r="R125" s="38">
        <f>IFERROR(VLOOKUP(P125,[48]conductor_pz_summary_hftd_23_re!$B$2:$H$3636,7,0),0)/1609</f>
        <v>15.567907158765507</v>
      </c>
      <c r="S125" s="23">
        <f>IFERROR(VLOOKUP(P125,[47]conductor_pz_summary_hftd_23_re!$B$2:$Q$3636,14,FALSE),0)</f>
        <v>2055</v>
      </c>
      <c r="T125" s="23">
        <f>IFERROR(U125*Q125,0)</f>
        <v>1.176723195926058</v>
      </c>
      <c r="U125" s="23">
        <f>IFERROR(VLOOKUP(P125,[47]conductor_pz_summary_hftd_23_re!$B$2:$Q$3636,13,FALSE),0)</f>
        <v>7.8448213061737201E-3</v>
      </c>
      <c r="V125" s="79">
        <f>IFERROR(VLOOKUP(P125,conductor_pz_summary_hftd_23_re!$B$2:$N$3636,13,FALSE),0)</f>
        <v>1975</v>
      </c>
      <c r="W125" s="65" t="e">
        <f>(AJ125*0.67+AK125*0.99+AL125+AM125*0.99)/(SUM(AJ125:AM125))*T125*(F125/R125)</f>
        <v>#DIV/0!</v>
      </c>
      <c r="X125" s="65"/>
      <c r="Y125" s="65"/>
      <c r="Z125" s="79" t="s">
        <v>5203</v>
      </c>
      <c r="AA125" s="101" t="s">
        <v>5515</v>
      </c>
      <c r="AB125" s="101" t="s">
        <v>5038</v>
      </c>
      <c r="AC125" s="101" t="s">
        <v>5157</v>
      </c>
      <c r="AD125" s="101" t="s">
        <v>5039</v>
      </c>
      <c r="AE125" s="65">
        <v>5794201</v>
      </c>
      <c r="AF125" s="79" t="s">
        <v>5328</v>
      </c>
      <c r="AG125" s="79">
        <v>120048103</v>
      </c>
      <c r="AH125" s="79">
        <v>35217275</v>
      </c>
      <c r="AI125" s="79" t="s">
        <v>5329</v>
      </c>
      <c r="AJ125" s="65"/>
      <c r="AK125" s="65"/>
      <c r="AL125" s="65"/>
      <c r="AM125" s="65"/>
      <c r="AN125" s="65"/>
      <c r="AO125" s="65"/>
      <c r="AP125" s="65"/>
      <c r="AQ125" s="65"/>
      <c r="AR125" s="99"/>
      <c r="AS125" s="65"/>
      <c r="AT125" s="65"/>
      <c r="AU125" s="65"/>
      <c r="AV125" s="65"/>
      <c r="AW125" s="23">
        <f>SUM(AT125:AV125)</f>
        <v>0</v>
      </c>
      <c r="AX125" s="41">
        <f>AW125/5280</f>
        <v>0</v>
      </c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</row>
    <row r="126" spans="1:67" s="19" customFormat="1" x14ac:dyDescent="0.25">
      <c r="A126" s="65">
        <v>77779999</v>
      </c>
      <c r="B126" s="107" t="s">
        <v>5563</v>
      </c>
      <c r="C126" s="79">
        <v>1</v>
      </c>
      <c r="D126" s="79" t="s">
        <v>4871</v>
      </c>
      <c r="E126" s="110">
        <v>2021072</v>
      </c>
      <c r="F126" s="79">
        <v>4.03</v>
      </c>
      <c r="G126" s="37">
        <f>F126-K126</f>
        <v>4.03</v>
      </c>
      <c r="H126" s="100">
        <v>2021</v>
      </c>
      <c r="I126" s="65"/>
      <c r="J126" s="65"/>
      <c r="K126" s="37">
        <f>SUM(I126:J126)</f>
        <v>0</v>
      </c>
      <c r="L126" s="21">
        <v>0</v>
      </c>
      <c r="M126" s="80" t="s">
        <v>4880</v>
      </c>
      <c r="N126" s="22">
        <v>42751113</v>
      </c>
      <c r="O126" s="101" t="s">
        <v>1398</v>
      </c>
      <c r="P126" s="80" t="s">
        <v>1406</v>
      </c>
      <c r="Q126" s="38">
        <f>IFERROR(VLOOKUP(P126,[47]conductor_pz_summary_hftd_23_re!$B$2:$Q$3636,8,FALSE),0)</f>
        <v>139</v>
      </c>
      <c r="R126" s="38">
        <f>IFERROR(VLOOKUP(P126,[48]conductor_pz_summary_hftd_23_re!$B$2:$H$3636,7,0),0)/1609</f>
        <v>22.674903809589495</v>
      </c>
      <c r="S126" s="23">
        <f>IFERROR(VLOOKUP(P126,[47]conductor_pz_summary_hftd_23_re!$B$2:$Q$3636,14,FALSE),0)</f>
        <v>945</v>
      </c>
      <c r="T126" s="23">
        <f>IFERROR(U126*Q126,0)</f>
        <v>10.27590572253238</v>
      </c>
      <c r="U126" s="23">
        <f>IFERROR(VLOOKUP(P126,[47]conductor_pz_summary_hftd_23_re!$B$2:$Q$3636,13,FALSE),0)</f>
        <v>7.3927379298794102E-2</v>
      </c>
      <c r="V126" s="79">
        <f>IFERROR(VLOOKUP(P126,conductor_pz_summary_hftd_23_re!$B$2:$N$3636,13,FALSE),0)</f>
        <v>1284</v>
      </c>
      <c r="W126" s="65">
        <f>(AJ126*0.67+AK126*0.99+AL126+AM126*0.99)/(SUM(AJ126:AM126))*T126*(F126/R126)</f>
        <v>1.8080685768487792</v>
      </c>
      <c r="X126" s="65"/>
      <c r="Y126" s="65"/>
      <c r="Z126" s="79" t="s">
        <v>5203</v>
      </c>
      <c r="AA126" s="101"/>
      <c r="AB126" s="101"/>
      <c r="AC126" s="101"/>
      <c r="AD126" s="101"/>
      <c r="AE126" s="65"/>
      <c r="AF126" s="79"/>
      <c r="AG126" s="79"/>
      <c r="AH126" s="79"/>
      <c r="AI126" s="79" t="s">
        <v>5241</v>
      </c>
      <c r="AJ126" s="79">
        <v>0</v>
      </c>
      <c r="AK126" s="79">
        <v>0</v>
      </c>
      <c r="AL126" s="79">
        <v>0</v>
      </c>
      <c r="AM126" s="79">
        <f>4.03*5280</f>
        <v>21278.400000000001</v>
      </c>
      <c r="AN126" s="65"/>
      <c r="AO126" s="65"/>
      <c r="AP126" s="65"/>
      <c r="AQ126" s="65"/>
      <c r="AR126" s="99"/>
      <c r="AS126" s="65"/>
      <c r="AT126" s="65"/>
      <c r="AU126" s="65"/>
      <c r="AV126" s="65"/>
      <c r="AW126" s="23">
        <f>SUM(AT126:AV126)</f>
        <v>0</v>
      </c>
      <c r="AX126" s="41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</row>
    <row r="127" spans="1:67" s="19" customFormat="1" x14ac:dyDescent="0.25">
      <c r="A127" s="65">
        <v>35199565</v>
      </c>
      <c r="B127" s="107" t="s">
        <v>5565</v>
      </c>
      <c r="C127" s="79">
        <v>18</v>
      </c>
      <c r="D127" s="79" t="s">
        <v>4871</v>
      </c>
      <c r="E127" s="110">
        <v>2021073</v>
      </c>
      <c r="F127" s="79">
        <v>2.56</v>
      </c>
      <c r="G127" s="37">
        <f>F127-K127</f>
        <v>2.56</v>
      </c>
      <c r="H127" s="100">
        <v>2021</v>
      </c>
      <c r="I127" s="65"/>
      <c r="J127" s="65"/>
      <c r="K127" s="37">
        <f>SUM(I127:J127)</f>
        <v>0</v>
      </c>
      <c r="L127" s="21">
        <v>7339371.7199999997</v>
      </c>
      <c r="M127" s="80" t="s">
        <v>4872</v>
      </c>
      <c r="N127" s="22">
        <v>103751102</v>
      </c>
      <c r="O127" s="101" t="s">
        <v>354</v>
      </c>
      <c r="P127" s="80" t="s">
        <v>353</v>
      </c>
      <c r="Q127" s="38">
        <f>IFERROR(VLOOKUP(P127,[47]conductor_pz_summary_hftd_23_re!$B$2:$Q$3636,8,FALSE),0)</f>
        <v>177</v>
      </c>
      <c r="R127" s="38">
        <f>IFERROR(VLOOKUP(P127,[48]conductor_pz_summary_hftd_23_re!$B$2:$H$3636,7,0),0)/1609</f>
        <v>21.29644667592169</v>
      </c>
      <c r="S127" s="23">
        <f>IFERROR(VLOOKUP(P127,[47]conductor_pz_summary_hftd_23_re!$B$2:$Q$3636,14,FALSE),0)</f>
        <v>1288</v>
      </c>
      <c r="T127" s="23">
        <f>IFERROR(U127*Q127,0)</f>
        <v>7.2500155067644982</v>
      </c>
      <c r="U127" s="23">
        <f>IFERROR(VLOOKUP(P127,[47]conductor_pz_summary_hftd_23_re!$B$2:$Q$3636,13,FALSE),0)</f>
        <v>4.0960539586240102E-2</v>
      </c>
      <c r="V127" s="79">
        <f>IFERROR(VLOOKUP(P127,conductor_pz_summary_hftd_23_re!$B$2:$N$3636,13,FALSE),0)</f>
        <v>1326</v>
      </c>
      <c r="W127" s="65">
        <f>(AJ127*0.67+AK127*0.99+AL127+AM127*0.99)/(SUM(AJ127:AM127))*T127*(F127/R127)</f>
        <v>0.58391086487033794</v>
      </c>
      <c r="X127" s="65"/>
      <c r="Y127" s="65"/>
      <c r="Z127" s="79" t="s">
        <v>5203</v>
      </c>
      <c r="AA127" s="101" t="s">
        <v>5495</v>
      </c>
      <c r="AB127" s="101" t="s">
        <v>5247</v>
      </c>
      <c r="AC127" s="101" t="s">
        <v>5242</v>
      </c>
      <c r="AD127" s="101" t="s">
        <v>4877</v>
      </c>
      <c r="AE127" s="65">
        <v>5541890</v>
      </c>
      <c r="AF127" s="79"/>
      <c r="AG127" s="79">
        <v>119750044</v>
      </c>
      <c r="AH127" s="79">
        <v>35199565</v>
      </c>
      <c r="AI127" s="79" t="s">
        <v>5566</v>
      </c>
      <c r="AJ127" s="79">
        <f>2.56*5280</f>
        <v>13516.800000000001</v>
      </c>
      <c r="AK127" s="79">
        <v>0</v>
      </c>
      <c r="AL127" s="79">
        <v>0</v>
      </c>
      <c r="AM127" s="79">
        <v>0</v>
      </c>
      <c r="AN127" s="65"/>
      <c r="AO127" s="65"/>
      <c r="AP127" s="65"/>
      <c r="AQ127" s="65"/>
      <c r="AR127" s="99"/>
      <c r="AS127" s="65"/>
      <c r="AT127" s="65"/>
      <c r="AU127" s="65"/>
      <c r="AV127" s="65"/>
      <c r="AW127" s="23">
        <f>SUM(AT127:AV127)</f>
        <v>0</v>
      </c>
      <c r="AX127" s="41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</row>
    <row r="128" spans="1:67" s="19" customFormat="1" x14ac:dyDescent="0.25">
      <c r="A128" s="65">
        <v>35200051</v>
      </c>
      <c r="B128" s="107" t="s">
        <v>5564</v>
      </c>
      <c r="C128" s="79">
        <v>18</v>
      </c>
      <c r="D128" s="79" t="s">
        <v>4871</v>
      </c>
      <c r="E128" s="110">
        <v>2021074</v>
      </c>
      <c r="F128" s="79">
        <v>4.8</v>
      </c>
      <c r="G128" s="37">
        <f>F128-K128</f>
        <v>4.8</v>
      </c>
      <c r="H128" s="100">
        <v>2021</v>
      </c>
      <c r="I128" s="65"/>
      <c r="J128" s="65"/>
      <c r="K128" s="37">
        <f>SUM(I128:J128)</f>
        <v>0</v>
      </c>
      <c r="L128" s="21">
        <v>3333378.58</v>
      </c>
      <c r="M128" s="80" t="s">
        <v>4872</v>
      </c>
      <c r="N128" s="22">
        <v>103751102</v>
      </c>
      <c r="O128" s="101" t="s">
        <v>354</v>
      </c>
      <c r="P128" s="80" t="s">
        <v>353</v>
      </c>
      <c r="Q128" s="38">
        <f>IFERROR(VLOOKUP(P128,[47]conductor_pz_summary_hftd_23_re!$B$2:$Q$3636,8,FALSE),0)</f>
        <v>177</v>
      </c>
      <c r="R128" s="38">
        <f>IFERROR(VLOOKUP(P128,[48]conductor_pz_summary_hftd_23_re!$B$2:$H$3636,7,0),0)/1609</f>
        <v>21.29644667592169</v>
      </c>
      <c r="S128" s="23">
        <f>IFERROR(VLOOKUP(P128,[47]conductor_pz_summary_hftd_23_re!$B$2:$Q$3636,14,FALSE),0)</f>
        <v>1288</v>
      </c>
      <c r="T128" s="23">
        <f>IFERROR(U128*Q128,0)</f>
        <v>7.2500155067644982</v>
      </c>
      <c r="U128" s="23">
        <f>IFERROR(VLOOKUP(P128,[47]conductor_pz_summary_hftd_23_re!$B$2:$Q$3636,13,FALSE),0)</f>
        <v>4.0960539586240102E-2</v>
      </c>
      <c r="V128" s="79">
        <f>IFERROR(VLOOKUP(P128,conductor_pz_summary_hftd_23_re!$B$2:$N$3636,13,FALSE),0)</f>
        <v>1326</v>
      </c>
      <c r="W128" s="65">
        <f>(AJ128*0.67+AK128*0.99+AL128+AM128*0.99)/(SUM(AJ128:AM128))*T128*(F128/R128)</f>
        <v>1.6177381237545745</v>
      </c>
      <c r="X128" s="65"/>
      <c r="Y128" s="65"/>
      <c r="Z128" s="79" t="s">
        <v>5203</v>
      </c>
      <c r="AA128" s="101" t="s">
        <v>5495</v>
      </c>
      <c r="AB128" s="101" t="s">
        <v>5247</v>
      </c>
      <c r="AC128" s="101" t="s">
        <v>5242</v>
      </c>
      <c r="AD128" s="101" t="s">
        <v>4877</v>
      </c>
      <c r="AE128" s="65">
        <v>5541890</v>
      </c>
      <c r="AF128" s="79"/>
      <c r="AG128" s="79">
        <v>119765913</v>
      </c>
      <c r="AH128" s="79">
        <v>35200051</v>
      </c>
      <c r="AI128" s="79" t="s">
        <v>5566</v>
      </c>
      <c r="AJ128" s="79">
        <v>0</v>
      </c>
      <c r="AK128" s="79">
        <f>4.8*5280</f>
        <v>25344</v>
      </c>
      <c r="AL128" s="79">
        <v>0</v>
      </c>
      <c r="AM128" s="79">
        <v>0</v>
      </c>
      <c r="AN128" s="65"/>
      <c r="AO128" s="65"/>
      <c r="AP128" s="65"/>
      <c r="AQ128" s="65"/>
      <c r="AR128" s="99"/>
      <c r="AS128" s="65"/>
      <c r="AT128" s="65"/>
      <c r="AU128" s="65"/>
      <c r="AV128" s="65"/>
      <c r="AW128" s="23">
        <f>SUM(AT128:AV128)</f>
        <v>0</v>
      </c>
      <c r="AX128" s="41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</row>
    <row r="129" spans="1:67" s="19" customFormat="1" x14ac:dyDescent="0.25">
      <c r="A129" s="65">
        <v>35199565</v>
      </c>
      <c r="B129" s="107" t="s">
        <v>5565</v>
      </c>
      <c r="C129" s="79">
        <v>18</v>
      </c>
      <c r="D129" s="79" t="s">
        <v>4871</v>
      </c>
      <c r="E129" s="110">
        <v>2021075</v>
      </c>
      <c r="F129" s="79">
        <v>6.72</v>
      </c>
      <c r="G129" s="37">
        <f>F129-K129</f>
        <v>6.72</v>
      </c>
      <c r="H129" s="100">
        <v>2021</v>
      </c>
      <c r="I129" s="65"/>
      <c r="J129" s="65"/>
      <c r="K129" s="37">
        <f>SUM(I129:J129)</f>
        <v>0</v>
      </c>
      <c r="L129" s="21">
        <v>7339371.7199999997</v>
      </c>
      <c r="M129" s="80" t="s">
        <v>4872</v>
      </c>
      <c r="N129" s="22">
        <v>102911103</v>
      </c>
      <c r="O129" s="101" t="s">
        <v>4762</v>
      </c>
      <c r="P129" s="80" t="s">
        <v>4764</v>
      </c>
      <c r="Q129" s="38">
        <f>IFERROR(VLOOKUP(P129,[47]conductor_pz_summary_hftd_23_re!$B$2:$Q$3636,8,FALSE),0)</f>
        <v>249</v>
      </c>
      <c r="R129" s="38">
        <f>IFERROR(VLOOKUP(P129,[48]conductor_pz_summary_hftd_23_re!$B$2:$H$3636,7,0),0)/1609</f>
        <v>27.217261193432378</v>
      </c>
      <c r="S129" s="23">
        <f>IFERROR(VLOOKUP(P129,[47]conductor_pz_summary_hftd_23_re!$B$2:$Q$3636,14,FALSE),0)</f>
        <v>1176</v>
      </c>
      <c r="T129" s="23">
        <f>IFERROR(U129*Q129,0)</f>
        <v>12.465553341185188</v>
      </c>
      <c r="U129" s="23">
        <f>IFERROR(VLOOKUP(P129,[47]conductor_pz_summary_hftd_23_re!$B$2:$Q$3636,13,FALSE),0)</f>
        <v>5.0062463217611201E-2</v>
      </c>
      <c r="V129" s="79">
        <f>IFERROR(VLOOKUP(P129,conductor_pz_summary_hftd_23_re!$B$2:$N$3636,13,FALSE),0)</f>
        <v>1498</v>
      </c>
      <c r="W129" s="65">
        <f>(AJ129*0.67+AK129*0.99+AL129+AM129*0.99)/(SUM(AJ129:AM129))*T129*(F129/R129)</f>
        <v>2.062107093159518</v>
      </c>
      <c r="X129" s="65"/>
      <c r="Y129" s="65"/>
      <c r="Z129" s="79" t="s">
        <v>5203</v>
      </c>
      <c r="AA129" s="101" t="s">
        <v>5495</v>
      </c>
      <c r="AB129" s="101" t="s">
        <v>5247</v>
      </c>
      <c r="AC129" s="101" t="s">
        <v>5242</v>
      </c>
      <c r="AD129" s="101" t="s">
        <v>4877</v>
      </c>
      <c r="AE129" s="65">
        <v>5541890</v>
      </c>
      <c r="AF129" s="79"/>
      <c r="AG129" s="79">
        <v>119750044</v>
      </c>
      <c r="AH129" s="79">
        <v>35199565</v>
      </c>
      <c r="AI129" s="79" t="s">
        <v>5566</v>
      </c>
      <c r="AJ129" s="79">
        <f>6.72*5280</f>
        <v>35481.599999999999</v>
      </c>
      <c r="AK129" s="79">
        <v>0</v>
      </c>
      <c r="AL129" s="79">
        <v>0</v>
      </c>
      <c r="AM129" s="79">
        <v>0</v>
      </c>
      <c r="AN129" s="65"/>
      <c r="AO129" s="65"/>
      <c r="AP129" s="65"/>
      <c r="AQ129" s="65"/>
      <c r="AR129" s="99"/>
      <c r="AS129" s="65"/>
      <c r="AT129" s="65"/>
      <c r="AU129" s="65"/>
      <c r="AV129" s="65"/>
      <c r="AW129" s="23">
        <f>SUM(AT129:AV129)</f>
        <v>0</v>
      </c>
      <c r="AX129" s="41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</row>
    <row r="130" spans="1:67" s="19" customFormat="1" x14ac:dyDescent="0.25">
      <c r="A130" s="65">
        <v>35200051</v>
      </c>
      <c r="B130" s="107" t="s">
        <v>5564</v>
      </c>
      <c r="C130" s="79">
        <v>18</v>
      </c>
      <c r="D130" s="79" t="s">
        <v>4871</v>
      </c>
      <c r="E130" s="110">
        <v>2021076</v>
      </c>
      <c r="F130" s="79">
        <v>7.25</v>
      </c>
      <c r="G130" s="37">
        <f>F130-K130</f>
        <v>7.25</v>
      </c>
      <c r="H130" s="100">
        <v>2021</v>
      </c>
      <c r="I130" s="65"/>
      <c r="J130" s="65"/>
      <c r="K130" s="37">
        <f>SUM(I130:J130)</f>
        <v>0</v>
      </c>
      <c r="L130" s="21">
        <v>3333378.58</v>
      </c>
      <c r="M130" s="80" t="s">
        <v>4872</v>
      </c>
      <c r="N130" s="22">
        <v>102911103</v>
      </c>
      <c r="O130" s="101" t="s">
        <v>4762</v>
      </c>
      <c r="P130" s="80" t="s">
        <v>4764</v>
      </c>
      <c r="Q130" s="38">
        <f>IFERROR(VLOOKUP(P130,[47]conductor_pz_summary_hftd_23_re!$B$2:$Q$3636,8,FALSE),0)</f>
        <v>249</v>
      </c>
      <c r="R130" s="38">
        <f>IFERROR(VLOOKUP(P130,[48]conductor_pz_summary_hftd_23_re!$B$2:$H$3636,7,0),0)/1609</f>
        <v>27.217261193432378</v>
      </c>
      <c r="S130" s="23">
        <f>IFERROR(VLOOKUP(P130,[47]conductor_pz_summary_hftd_23_re!$B$2:$Q$3636,14,FALSE),0)</f>
        <v>1176</v>
      </c>
      <c r="T130" s="23">
        <f>IFERROR(U130*Q130,0)</f>
        <v>12.465553341185188</v>
      </c>
      <c r="U130" s="23">
        <f>IFERROR(VLOOKUP(P130,[47]conductor_pz_summary_hftd_23_re!$B$2:$Q$3636,13,FALSE),0)</f>
        <v>5.0062463217611201E-2</v>
      </c>
      <c r="V130" s="79">
        <f>IFERROR(VLOOKUP(P130,conductor_pz_summary_hftd_23_re!$B$2:$N$3636,13,FALSE),0)</f>
        <v>1498</v>
      </c>
      <c r="W130" s="65">
        <f>(AJ130*0.67+AK130*0.99+AL130+AM130*0.99)/(SUM(AJ130:AM130))*T130*(F130/R130)</f>
        <v>3.2873075828785616</v>
      </c>
      <c r="X130" s="65"/>
      <c r="Y130" s="65"/>
      <c r="Z130" s="79" t="s">
        <v>5203</v>
      </c>
      <c r="AA130" s="101" t="s">
        <v>5495</v>
      </c>
      <c r="AB130" s="101" t="s">
        <v>5247</v>
      </c>
      <c r="AC130" s="101" t="s">
        <v>5242</v>
      </c>
      <c r="AD130" s="101" t="s">
        <v>4877</v>
      </c>
      <c r="AE130" s="65">
        <v>5541890</v>
      </c>
      <c r="AF130" s="79"/>
      <c r="AG130" s="79">
        <v>119765913</v>
      </c>
      <c r="AH130" s="79">
        <v>35200051</v>
      </c>
      <c r="AI130" s="79" t="s">
        <v>5566</v>
      </c>
      <c r="AJ130" s="79">
        <v>0</v>
      </c>
      <c r="AK130" s="79">
        <f>7.25*5280</f>
        <v>38280</v>
      </c>
      <c r="AL130" s="79">
        <v>0</v>
      </c>
      <c r="AM130" s="79">
        <v>0</v>
      </c>
      <c r="AN130" s="65"/>
      <c r="AO130" s="65"/>
      <c r="AP130" s="65"/>
      <c r="AQ130" s="65"/>
      <c r="AR130" s="99"/>
      <c r="AS130" s="65"/>
      <c r="AT130" s="65"/>
      <c r="AU130" s="65"/>
      <c r="AV130" s="65"/>
      <c r="AW130" s="23">
        <f>SUM(AT130:AV130)</f>
        <v>0</v>
      </c>
      <c r="AX130" s="41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</row>
    <row r="131" spans="1:67" s="19" customFormat="1" x14ac:dyDescent="0.25">
      <c r="A131" s="65">
        <v>35220936</v>
      </c>
      <c r="B131" s="107" t="s">
        <v>5565</v>
      </c>
      <c r="C131" s="79">
        <v>2</v>
      </c>
      <c r="D131" s="79" t="s">
        <v>4871</v>
      </c>
      <c r="E131" s="110">
        <v>2021077</v>
      </c>
      <c r="F131" s="79">
        <v>0.95</v>
      </c>
      <c r="G131" s="37">
        <v>0.95</v>
      </c>
      <c r="H131" s="100">
        <v>2021</v>
      </c>
      <c r="I131" s="65"/>
      <c r="J131" s="65"/>
      <c r="K131" s="37">
        <v>0</v>
      </c>
      <c r="L131" s="21">
        <v>0</v>
      </c>
      <c r="M131" s="80" t="s">
        <v>4880</v>
      </c>
      <c r="N131" s="22">
        <v>24101103</v>
      </c>
      <c r="O131" s="101" t="s">
        <v>1743</v>
      </c>
      <c r="P131" s="80" t="s">
        <v>1746</v>
      </c>
      <c r="Q131" s="38">
        <f>IFERROR(VLOOKUP(P131,[47]conductor_pz_summary_hftd_23_re!$B$2:$Q$3636,8,FALSE),0)</f>
        <v>79</v>
      </c>
      <c r="R131" s="38">
        <f>IFERROR(VLOOKUP(P131,[48]conductor_pz_summary_hftd_23_re!$B$2:$H$3636,7,0),0)/1609</f>
        <v>6.6682886137888744</v>
      </c>
      <c r="S131" s="23">
        <f>IFERROR(VLOOKUP(P131,[47]conductor_pz_summary_hftd_23_re!$B$2:$Q$3636,14,FALSE),0)</f>
        <v>2186</v>
      </c>
      <c r="T131" s="23">
        <f>IFERROR(U131*Q131,0)</f>
        <v>0.42722001654211705</v>
      </c>
      <c r="U131" s="23">
        <f>IFERROR(VLOOKUP(P131,[47]conductor_pz_summary_hftd_23_re!$B$2:$Q$3636,13,FALSE),0)</f>
        <v>5.4078483106597096E-3</v>
      </c>
      <c r="V131" s="79">
        <f>IFERROR(VLOOKUP(P131,conductor_pz_summary_hftd_23_re!$B$2:$N$3636,13,FALSE),0)</f>
        <v>2095</v>
      </c>
      <c r="W131" s="65" t="e">
        <f>(AJ131*0.67+AK131*0.99+AL131+AM131*0.99)/(SUM(AJ131:AM131))*T131*(F131/R131)</f>
        <v>#DIV/0!</v>
      </c>
      <c r="X131" s="65"/>
      <c r="Y131" s="65"/>
      <c r="Z131" s="79" t="s">
        <v>5203</v>
      </c>
      <c r="AA131" s="101" t="s">
        <v>5515</v>
      </c>
      <c r="AB131" s="101" t="s">
        <v>5038</v>
      </c>
      <c r="AC131" s="101" t="s">
        <v>5157</v>
      </c>
      <c r="AD131" s="101" t="s">
        <v>5039</v>
      </c>
      <c r="AE131" s="65">
        <v>5794202</v>
      </c>
      <c r="AF131" s="79" t="s">
        <v>5579</v>
      </c>
      <c r="AG131" s="79">
        <v>120224375</v>
      </c>
      <c r="AH131" s="79">
        <v>35220936</v>
      </c>
      <c r="AI131" s="79" t="s">
        <v>5578</v>
      </c>
      <c r="AJ131" s="65"/>
      <c r="AK131" s="65"/>
      <c r="AL131" s="65"/>
      <c r="AM131" s="65"/>
      <c r="AN131" s="65"/>
      <c r="AO131" s="65"/>
      <c r="AP131" s="65"/>
      <c r="AQ131" s="65"/>
      <c r="AR131" s="99"/>
      <c r="AS131" s="65"/>
      <c r="AT131" s="65"/>
      <c r="AU131" s="65"/>
      <c r="AV131" s="65"/>
      <c r="AW131" s="23"/>
      <c r="AX131" s="41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</row>
    <row r="132" spans="1:67" s="19" customFormat="1" x14ac:dyDescent="0.25">
      <c r="A132" s="65">
        <v>35222234</v>
      </c>
      <c r="B132" s="107" t="s">
        <v>5562</v>
      </c>
      <c r="C132" s="79">
        <v>3</v>
      </c>
      <c r="D132" s="79" t="s">
        <v>4871</v>
      </c>
      <c r="E132" s="110">
        <v>2021078</v>
      </c>
      <c r="F132" s="79">
        <v>1.5</v>
      </c>
      <c r="G132" s="104">
        <f>F132-K132</f>
        <v>1.5</v>
      </c>
      <c r="H132" s="100">
        <v>2021</v>
      </c>
      <c r="I132" s="65"/>
      <c r="J132" s="65"/>
      <c r="K132" s="37">
        <f>SUM(I132:J132)</f>
        <v>0</v>
      </c>
      <c r="L132" s="21">
        <v>0</v>
      </c>
      <c r="M132" s="80" t="s">
        <v>4880</v>
      </c>
      <c r="N132" s="108">
        <v>254421101</v>
      </c>
      <c r="O132" s="65" t="s">
        <v>2764</v>
      </c>
      <c r="P132" s="79" t="s">
        <v>2763</v>
      </c>
      <c r="Q132" s="38">
        <f>IFERROR(VLOOKUP(P132,[47]conductor_pz_summary_hftd_23_re!$B$2:$Q$3636,8,FALSE),0)</f>
        <v>435</v>
      </c>
      <c r="R132" s="38">
        <f>IFERROR(VLOOKUP(P132,[48]conductor_pz_summary_hftd_23_re!$B$2:$H$3636,7,0),0)/1609</f>
        <v>44.088589532269609</v>
      </c>
      <c r="S132" s="23">
        <f>IFERROR(VLOOKUP(P132,[47]conductor_pz_summary_hftd_23_re!$B$2:$Q$3636,14,FALSE),0)</f>
        <v>421</v>
      </c>
      <c r="T132" s="23">
        <f>IFERROR(U132*Q132,0)</f>
        <v>75.850565774570683</v>
      </c>
      <c r="U132" s="23">
        <f>IFERROR(VLOOKUP(P132,[47]conductor_pz_summary_hftd_23_re!$B$2:$Q$3636,13,FALSE),0)</f>
        <v>0.174369116723151</v>
      </c>
      <c r="V132" s="79">
        <f>IFERROR(VLOOKUP(P132,conductor_pz_summary_hftd_23_re!$B$2:$N$3636,13,FALSE),0)</f>
        <v>167</v>
      </c>
      <c r="W132" s="65" t="e">
        <f>(AJ132*0.67+AK132*0.99+AL132+AM132*0.99)/(SUM(AJ132:AM132))*T132*(F132/R132)</f>
        <v>#DIV/0!</v>
      </c>
      <c r="X132" s="65"/>
      <c r="Y132" s="65"/>
      <c r="Z132" s="79"/>
      <c r="AA132" s="65"/>
      <c r="AB132" s="65"/>
      <c r="AC132" s="65"/>
      <c r="AD132" s="65"/>
      <c r="AE132" s="65"/>
      <c r="AF132" s="65"/>
      <c r="AG132" s="65"/>
      <c r="AH132" s="65"/>
      <c r="AI132" s="79" t="s">
        <v>5614</v>
      </c>
      <c r="AJ132" s="65"/>
      <c r="AK132" s="65"/>
      <c r="AL132" s="65"/>
      <c r="AM132" s="65"/>
      <c r="AN132" s="65"/>
      <c r="AO132" s="65"/>
      <c r="AP132" s="65"/>
      <c r="AQ132" s="65"/>
      <c r="AR132" s="99"/>
      <c r="AS132" s="65"/>
      <c r="AT132" s="65"/>
      <c r="AU132" s="65"/>
      <c r="AV132" s="65"/>
      <c r="AW132" s="23">
        <f>SUM(AT132:AV132)</f>
        <v>0</v>
      </c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</row>
    <row r="133" spans="1:67" s="19" customFormat="1" x14ac:dyDescent="0.25">
      <c r="A133" s="65">
        <v>35222236</v>
      </c>
      <c r="B133" s="107" t="s">
        <v>5562</v>
      </c>
      <c r="C133" s="79">
        <v>3</v>
      </c>
      <c r="D133" s="79" t="s">
        <v>4871</v>
      </c>
      <c r="E133" s="110">
        <v>2021079</v>
      </c>
      <c r="F133" s="79">
        <v>0.99</v>
      </c>
      <c r="G133" s="104">
        <f>F133-K133</f>
        <v>0.99</v>
      </c>
      <c r="H133" s="100">
        <v>2021</v>
      </c>
      <c r="I133" s="65"/>
      <c r="J133" s="65"/>
      <c r="K133" s="37">
        <f>SUM(I133:J133)</f>
        <v>0</v>
      </c>
      <c r="L133" s="21">
        <v>0</v>
      </c>
      <c r="M133" s="80" t="s">
        <v>4880</v>
      </c>
      <c r="N133" s="108">
        <v>254452101</v>
      </c>
      <c r="O133" s="65" t="s">
        <v>2304</v>
      </c>
      <c r="P133" s="79" t="s">
        <v>2309</v>
      </c>
      <c r="Q133" s="38">
        <f>IFERROR(VLOOKUP(P133,[47]conductor_pz_summary_hftd_23_re!$B$2:$Q$3636,8,FALSE),0)</f>
        <v>146</v>
      </c>
      <c r="R133" s="38">
        <f>IFERROR(VLOOKUP(P133,[48]conductor_pz_summary_hftd_23_re!$B$2:$H$3636,7,0),0)/1609</f>
        <v>17.463498213538905</v>
      </c>
      <c r="S133" s="23">
        <f>IFERROR(VLOOKUP(P133,[47]conductor_pz_summary_hftd_23_re!$B$2:$Q$3636,14,FALSE),0)</f>
        <v>428</v>
      </c>
      <c r="T133" s="23">
        <f>IFERROR(U133*Q133,0)</f>
        <v>25.236967640747515</v>
      </c>
      <c r="U133" s="23">
        <f>IFERROR(VLOOKUP(P133,[47]conductor_pz_summary_hftd_23_re!$B$2:$Q$3636,13,FALSE),0)</f>
        <v>0.172855942744846</v>
      </c>
      <c r="V133" s="79">
        <f>IFERROR(VLOOKUP(P133,conductor_pz_summary_hftd_23_re!$B$2:$N$3636,13,FALSE),0)</f>
        <v>468</v>
      </c>
      <c r="W133" s="65" t="e">
        <f>(AJ133*0.67+AK133*0.99+AL133+AM133*0.99)/(SUM(AJ133:AM133))*T133*(F133/R133)</f>
        <v>#DIV/0!</v>
      </c>
      <c r="X133" s="65"/>
      <c r="Y133" s="65"/>
      <c r="Z133" s="79"/>
      <c r="AA133" s="65"/>
      <c r="AB133" s="65"/>
      <c r="AC133" s="65"/>
      <c r="AD133" s="65"/>
      <c r="AE133" s="65"/>
      <c r="AF133" s="65"/>
      <c r="AG133" s="65"/>
      <c r="AH133" s="65"/>
      <c r="AI133" s="79" t="s">
        <v>5613</v>
      </c>
      <c r="AJ133" s="65"/>
      <c r="AK133" s="65"/>
      <c r="AL133" s="65"/>
      <c r="AM133" s="65"/>
      <c r="AN133" s="65"/>
      <c r="AO133" s="65"/>
      <c r="AP133" s="65"/>
      <c r="AQ133" s="65"/>
      <c r="AR133" s="99"/>
      <c r="AS133" s="65"/>
      <c r="AT133" s="65"/>
      <c r="AU133" s="65"/>
      <c r="AV133" s="65"/>
      <c r="AW133" s="23">
        <f>SUM(AT133:AV133)</f>
        <v>0</v>
      </c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</row>
    <row r="134" spans="1:67" s="19" customFormat="1" x14ac:dyDescent="0.25">
      <c r="A134" s="65">
        <v>35175853</v>
      </c>
      <c r="B134" s="107" t="s">
        <v>5562</v>
      </c>
      <c r="C134" s="79">
        <v>10</v>
      </c>
      <c r="D134" s="79" t="s">
        <v>4871</v>
      </c>
      <c r="E134" s="110">
        <v>2021080</v>
      </c>
      <c r="F134" s="79">
        <v>0.7</v>
      </c>
      <c r="G134" s="104">
        <f>F134-K134</f>
        <v>0.7</v>
      </c>
      <c r="H134" s="100">
        <v>2021</v>
      </c>
      <c r="I134" s="65"/>
      <c r="J134" s="65"/>
      <c r="K134" s="37">
        <f>SUM(I134:J134)</f>
        <v>0</v>
      </c>
      <c r="L134" s="21">
        <v>0</v>
      </c>
      <c r="M134" s="80" t="s">
        <v>4880</v>
      </c>
      <c r="N134" s="108">
        <v>153082106</v>
      </c>
      <c r="O134" s="65" t="s">
        <v>3366</v>
      </c>
      <c r="P134" s="79" t="s">
        <v>3365</v>
      </c>
      <c r="Q134" s="38">
        <f>IFERROR(VLOOKUP(P134,[47]conductor_pz_summary_hftd_23_re!$B$2:$Q$3636,8,FALSE),0)</f>
        <v>462</v>
      </c>
      <c r="R134" s="38">
        <f>IFERROR(VLOOKUP(P134,[48]conductor_pz_summary_hftd_23_re!$B$2:$H$3636,7,0),0)/1609</f>
        <v>49.498871370804096</v>
      </c>
      <c r="S134" s="23">
        <f>IFERROR(VLOOKUP(P134,[47]conductor_pz_summary_hftd_23_re!$B$2:$Q$3636,14,FALSE),0)</f>
        <v>2131</v>
      </c>
      <c r="T134" s="23">
        <f>IFERROR(U134*Q134,0)</f>
        <v>2.9784752846565303</v>
      </c>
      <c r="U134" s="23">
        <f>IFERROR(VLOOKUP(P134,[47]conductor_pz_summary_hftd_23_re!$B$2:$Q$3636,13,FALSE),0)</f>
        <v>6.4469162005552604E-3</v>
      </c>
      <c r="V134" s="79">
        <f>IFERROR(VLOOKUP(P134,conductor_pz_summary_hftd_23_re!$B$2:$N$3636,13,FALSE),0)</f>
        <v>2171</v>
      </c>
      <c r="W134" s="65" t="e">
        <f>(AJ134*0.67+AK134*0.99+AL134+AM134*0.99)/(SUM(AJ134:AM134))*T134*(F134/R134)</f>
        <v>#DIV/0!</v>
      </c>
      <c r="X134" s="65"/>
      <c r="Y134" s="65"/>
      <c r="Z134" s="79"/>
      <c r="AA134" s="65"/>
      <c r="AB134" s="65"/>
      <c r="AC134" s="65"/>
      <c r="AD134" s="65"/>
      <c r="AE134" s="65"/>
      <c r="AF134" s="65"/>
      <c r="AG134" s="65"/>
      <c r="AH134" s="65"/>
      <c r="AI134" s="79" t="s">
        <v>5612</v>
      </c>
      <c r="AJ134" s="65"/>
      <c r="AK134" s="65"/>
      <c r="AL134" s="65"/>
      <c r="AM134" s="65"/>
      <c r="AN134" s="65"/>
      <c r="AO134" s="65"/>
      <c r="AP134" s="65"/>
      <c r="AQ134" s="65"/>
      <c r="AR134" s="99"/>
      <c r="AS134" s="65"/>
      <c r="AT134" s="65"/>
      <c r="AU134" s="65"/>
      <c r="AV134" s="65"/>
      <c r="AW134" s="23">
        <f>SUM(AT134:AV134)</f>
        <v>0</v>
      </c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</row>
    <row r="135" spans="1:67" s="19" customFormat="1" x14ac:dyDescent="0.25">
      <c r="A135" s="65">
        <v>35222235</v>
      </c>
      <c r="B135" s="107" t="s">
        <v>5562</v>
      </c>
      <c r="C135" s="79">
        <v>3</v>
      </c>
      <c r="D135" s="79" t="s">
        <v>4871</v>
      </c>
      <c r="E135" s="110">
        <v>2021081</v>
      </c>
      <c r="F135" s="79">
        <v>2.6</v>
      </c>
      <c r="G135" s="104">
        <f>F135-K135</f>
        <v>2.6</v>
      </c>
      <c r="H135" s="100">
        <v>2021</v>
      </c>
      <c r="I135" s="65"/>
      <c r="J135" s="65"/>
      <c r="K135" s="37">
        <f>SUM(I135:J135)</f>
        <v>0</v>
      </c>
      <c r="L135" s="21">
        <v>0</v>
      </c>
      <c r="M135" s="80" t="s">
        <v>4880</v>
      </c>
      <c r="N135" s="108">
        <v>254061102</v>
      </c>
      <c r="O135" s="65" t="s">
        <v>1218</v>
      </c>
      <c r="P135" s="79" t="s">
        <v>1223</v>
      </c>
      <c r="Q135" s="38">
        <f>IFERROR(VLOOKUP(P135,[47]conductor_pz_summary_hftd_23_re!$B$2:$Q$3636,8,FALSE),0)</f>
        <v>5</v>
      </c>
      <c r="R135" s="38">
        <f>IFERROR(VLOOKUP(P135,[48]conductor_pz_summary_hftd_23_re!$B$2:$H$3636,7,0),0)/1609</f>
        <v>2.6028618167108015</v>
      </c>
      <c r="S135" s="23">
        <f>IFERROR(VLOOKUP(P135,[47]conductor_pz_summary_hftd_23_re!$B$2:$Q$3636,14,FALSE),0)</f>
        <v>2738</v>
      </c>
      <c r="T135" s="23">
        <f>IFERROR(U135*Q135,0)</f>
        <v>2.4545144651744351E-3</v>
      </c>
      <c r="U135" s="23">
        <f>IFERROR(VLOOKUP(P135,[47]conductor_pz_summary_hftd_23_re!$B$2:$Q$3636,13,FALSE),0)</f>
        <v>4.9090289303488702E-4</v>
      </c>
      <c r="V135" s="79">
        <f>IFERROR(VLOOKUP(P135,conductor_pz_summary_hftd_23_re!$B$2:$N$3636,13,FALSE),0)</f>
        <v>2461</v>
      </c>
      <c r="W135" s="65" t="e">
        <f>(AJ135*0.67+AK135*0.99+AL135+AM135*0.99)/(SUM(AJ135:AM135))*T135*(F135/R135)</f>
        <v>#DIV/0!</v>
      </c>
      <c r="X135" s="65"/>
      <c r="Y135" s="65"/>
      <c r="Z135" s="79"/>
      <c r="AA135" s="65"/>
      <c r="AB135" s="65"/>
      <c r="AC135" s="65"/>
      <c r="AD135" s="65"/>
      <c r="AE135" s="65"/>
      <c r="AF135" s="65"/>
      <c r="AG135" s="65"/>
      <c r="AH135" s="65"/>
      <c r="AI135" s="79" t="s">
        <v>5611</v>
      </c>
      <c r="AJ135" s="65"/>
      <c r="AK135" s="65"/>
      <c r="AL135" s="65"/>
      <c r="AM135" s="65"/>
      <c r="AN135" s="65"/>
      <c r="AO135" s="65"/>
      <c r="AP135" s="65"/>
      <c r="AQ135" s="65"/>
      <c r="AR135" s="99"/>
      <c r="AS135" s="65"/>
      <c r="AT135" s="65"/>
      <c r="AU135" s="65"/>
      <c r="AV135" s="65"/>
      <c r="AW135" s="23">
        <f>SUM(AT135:AV135)</f>
        <v>0</v>
      </c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</row>
    <row r="136" spans="1:67" s="19" customFormat="1" x14ac:dyDescent="0.25">
      <c r="A136" s="59" t="s">
        <v>5469</v>
      </c>
      <c r="B136" s="106" t="s">
        <v>5561</v>
      </c>
      <c r="C136" s="23">
        <v>2</v>
      </c>
      <c r="D136" s="23" t="s">
        <v>4871</v>
      </c>
      <c r="E136" s="110">
        <v>2021082</v>
      </c>
      <c r="F136" s="23">
        <f>1100/5280</f>
        <v>0.20833333333333334</v>
      </c>
      <c r="G136" s="37">
        <f>F136-K136</f>
        <v>0.20833333333333334</v>
      </c>
      <c r="H136" s="20">
        <v>2021</v>
      </c>
      <c r="I136" s="37"/>
      <c r="J136" s="37"/>
      <c r="K136" s="37">
        <f>SUM(I136:J136)</f>
        <v>0</v>
      </c>
      <c r="L136" s="21">
        <v>0</v>
      </c>
      <c r="M136" s="23" t="s">
        <v>4880</v>
      </c>
      <c r="N136" s="22">
        <v>153081112</v>
      </c>
      <c r="O136" s="19" t="s">
        <v>3362</v>
      </c>
      <c r="P136" s="23" t="s">
        <v>3364</v>
      </c>
      <c r="Q136" s="38">
        <f>IFERROR(VLOOKUP(P136,[47]conductor_pz_summary_hftd_23_re!$B$2:$Q$3636,8,FALSE),0)</f>
        <v>117</v>
      </c>
      <c r="R136" s="38">
        <f>IFERROR(VLOOKUP(P136,[48]conductor_pz_summary_hftd_23_re!$B$2:$H$3636,7,0),0)/1609</f>
        <v>8.512969057158422</v>
      </c>
      <c r="S136" s="23">
        <f>IFERROR(VLOOKUP(P136,[47]conductor_pz_summary_hftd_23_re!$B$2:$Q$3636,14,FALSE),0)</f>
        <v>2123</v>
      </c>
      <c r="T136" s="23">
        <f>IFERROR(U136*Q136,0)</f>
        <v>0.76223238625060019</v>
      </c>
      <c r="U136" s="23">
        <f>IFERROR(VLOOKUP(P136,[47]conductor_pz_summary_hftd_23_re!$B$2:$Q$3636,13,FALSE),0)</f>
        <v>6.5148067200905997E-3</v>
      </c>
      <c r="V136" s="79">
        <f>IFERROR(VLOOKUP(P136,conductor_pz_summary_hftd_23_re!$B$2:$N$3636,13,FALSE),0)</f>
        <v>2310</v>
      </c>
      <c r="W136" s="65" t="e">
        <f>(AJ136*0.67+AK136*0.99+AL136+AM136*0.99)/(SUM(AJ136:AM136))*T136*(F136/R136)</f>
        <v>#DIV/0!</v>
      </c>
      <c r="X136" s="23"/>
      <c r="Y136" s="23"/>
      <c r="Z136" s="23" t="s">
        <v>5134</v>
      </c>
      <c r="AA136" s="19" t="s">
        <v>5077</v>
      </c>
      <c r="AB136" s="19" t="s">
        <v>4890</v>
      </c>
      <c r="AC136" s="19" t="s">
        <v>4891</v>
      </c>
      <c r="AD136" s="19" t="s">
        <v>4877</v>
      </c>
      <c r="AE136" s="126">
        <v>5543321</v>
      </c>
      <c r="AF136" s="126" t="s">
        <v>5607</v>
      </c>
      <c r="AG136" s="126">
        <v>120135657</v>
      </c>
      <c r="AH136" s="79">
        <v>35219543</v>
      </c>
      <c r="AI136" s="23" t="s">
        <v>5470</v>
      </c>
      <c r="AJ136" s="23"/>
      <c r="AK136" s="23"/>
      <c r="AL136" s="23"/>
      <c r="AM136" s="23"/>
      <c r="AO136" s="65"/>
      <c r="AP136" s="23"/>
      <c r="AQ136" s="41"/>
      <c r="AR136" s="42"/>
      <c r="AS136" s="23"/>
      <c r="AW136" s="23">
        <f>SUM(AT136:AV136)</f>
        <v>0</v>
      </c>
      <c r="AX136" s="41"/>
      <c r="AY136" s="44"/>
      <c r="AZ136" s="65"/>
      <c r="BA136" s="65"/>
      <c r="BB136" s="23"/>
      <c r="BC136" s="23"/>
      <c r="BD136" s="23"/>
      <c r="BE136" s="23"/>
      <c r="BF136" s="41"/>
      <c r="BG136" s="45"/>
      <c r="BH136" s="42"/>
      <c r="BI136" s="46"/>
    </row>
    <row r="137" spans="1:67" s="19" customFormat="1" x14ac:dyDescent="0.25">
      <c r="A137" s="55">
        <v>77799999</v>
      </c>
      <c r="B137" s="106" t="s">
        <v>5561</v>
      </c>
      <c r="C137" s="23">
        <v>1</v>
      </c>
      <c r="D137" s="23" t="s">
        <v>4871</v>
      </c>
      <c r="E137" s="110">
        <v>2021083</v>
      </c>
      <c r="F137" s="37">
        <f>1000/5280</f>
        <v>0.18939393939393939</v>
      </c>
      <c r="G137" s="37">
        <f>F137-K137</f>
        <v>0.18939393939393939</v>
      </c>
      <c r="H137" s="20">
        <v>2021</v>
      </c>
      <c r="I137" s="37"/>
      <c r="J137" s="37"/>
      <c r="K137" s="37">
        <f>SUM(I137:J137)</f>
        <v>0</v>
      </c>
      <c r="L137" s="21">
        <v>0</v>
      </c>
      <c r="M137" s="23" t="s">
        <v>4880</v>
      </c>
      <c r="N137" s="22">
        <v>152481110</v>
      </c>
      <c r="O137" s="19" t="s">
        <v>488</v>
      </c>
      <c r="P137" s="23" t="s">
        <v>494</v>
      </c>
      <c r="Q137" s="38">
        <f>IFERROR(VLOOKUP(P137,[47]conductor_pz_summary_hftd_23_re!$B$2:$Q$3636,8,FALSE),0)</f>
        <v>26</v>
      </c>
      <c r="R137" s="38">
        <f>IFERROR(VLOOKUP(P137,[48]conductor_pz_summary_hftd_23_re!$B$2:$H$3636,7,0),0)/1609</f>
        <v>3.4177472988151649E-3</v>
      </c>
      <c r="S137" s="23">
        <f>IFERROR(VLOOKUP(P137,[47]conductor_pz_summary_hftd_23_re!$B$2:$Q$3636,14,FALSE),0)</f>
        <v>2134</v>
      </c>
      <c r="T137" s="23">
        <f>IFERROR(U137*Q137,0)</f>
        <v>0.1668530363138972</v>
      </c>
      <c r="U137" s="23">
        <f>IFERROR(VLOOKUP(P137,[47]conductor_pz_summary_hftd_23_re!$B$2:$Q$3636,13,FALSE),0)</f>
        <v>6.4174244736114302E-3</v>
      </c>
      <c r="V137" s="79">
        <f>IFERROR(VLOOKUP(P137,conductor_pz_summary_hftd_23_re!$B$2:$N$3636,13,FALSE),0)</f>
        <v>2454</v>
      </c>
      <c r="W137" s="65">
        <f>(AJ137*0.67+AK137*0.99+AL137+AM137*0.99)/(SUM(AJ137:AM137))*T137*(F137/R137)</f>
        <v>9.1536739184027205</v>
      </c>
      <c r="X137" s="23"/>
      <c r="Y137" s="23"/>
      <c r="Z137" s="23" t="s">
        <v>5134</v>
      </c>
      <c r="AE137" s="23">
        <v>5794983</v>
      </c>
      <c r="AF137" s="23"/>
      <c r="AG137" s="23"/>
      <c r="AH137" s="55"/>
      <c r="AI137" s="23" t="s">
        <v>5615</v>
      </c>
      <c r="AJ137" s="23"/>
      <c r="AK137" s="23">
        <v>1000</v>
      </c>
      <c r="AL137" s="23"/>
      <c r="AM137" s="23"/>
      <c r="AO137" s="65"/>
      <c r="AP137" s="23"/>
      <c r="AQ137" s="41"/>
      <c r="AR137" s="42"/>
      <c r="AS137" s="23"/>
      <c r="AW137" s="23">
        <f>SUM(AT137:AV137)</f>
        <v>0</v>
      </c>
      <c r="AX137" s="41"/>
      <c r="AY137" s="44"/>
      <c r="AZ137" s="65"/>
      <c r="BA137" s="65"/>
      <c r="BB137" s="23"/>
      <c r="BC137" s="23"/>
      <c r="BD137" s="23"/>
      <c r="BE137" s="23"/>
      <c r="BF137" s="41"/>
      <c r="BG137" s="45"/>
      <c r="BH137" s="42"/>
      <c r="BI137" s="46"/>
    </row>
    <row r="138" spans="1:67" s="19" customFormat="1" x14ac:dyDescent="0.25">
      <c r="A138" s="55">
        <v>77799999</v>
      </c>
      <c r="B138" s="106" t="s">
        <v>5561</v>
      </c>
      <c r="C138" s="23">
        <v>1</v>
      </c>
      <c r="D138" s="23" t="s">
        <v>4871</v>
      </c>
      <c r="E138" s="110">
        <v>2021084</v>
      </c>
      <c r="F138" s="37"/>
      <c r="G138" s="37">
        <f>F138-K138</f>
        <v>0</v>
      </c>
      <c r="H138" s="20">
        <v>2021</v>
      </c>
      <c r="I138" s="37"/>
      <c r="J138" s="37"/>
      <c r="K138" s="37">
        <f>SUM(I138:J138)</f>
        <v>0</v>
      </c>
      <c r="L138" s="21">
        <v>0</v>
      </c>
      <c r="M138" s="23" t="s">
        <v>4880</v>
      </c>
      <c r="N138" s="22">
        <v>103191101</v>
      </c>
      <c r="O138" s="19" t="s">
        <v>223</v>
      </c>
      <c r="P138" s="23" t="s">
        <v>234</v>
      </c>
      <c r="Q138" s="38">
        <f>IFERROR(VLOOKUP(P138,[47]conductor_pz_summary_hftd_23_re!$B$2:$Q$3636,8,FALSE),0)</f>
        <v>171</v>
      </c>
      <c r="R138" s="38">
        <f>IFERROR(VLOOKUP(P138,[48]conductor_pz_summary_hftd_23_re!$B$2:$H$3636,7,0),0)/1609</f>
        <v>18.756098402348542</v>
      </c>
      <c r="S138" s="23">
        <f>IFERROR(VLOOKUP(P138,[47]conductor_pz_summary_hftd_23_re!$B$2:$Q$3636,14,FALSE),0)</f>
        <v>355</v>
      </c>
      <c r="T138" s="23">
        <f>IFERROR(U138*Q138,0)</f>
        <v>33.136580264241637</v>
      </c>
      <c r="U138" s="23">
        <f>IFERROR(VLOOKUP(P138,[47]conductor_pz_summary_hftd_23_re!$B$2:$Q$3636,13,FALSE),0)</f>
        <v>0.193781171135916</v>
      </c>
      <c r="V138" s="79">
        <f>IFERROR(VLOOKUP(P138,conductor_pz_summary_hftd_23_re!$B$2:$N$3636,13,FALSE),0)</f>
        <v>565</v>
      </c>
      <c r="W138" s="65" t="e">
        <f>(AJ138*0.67+AK138*0.99+AL138+AM138*0.99)/(SUM(AJ138:AM138))*T138*(F138/R138)</f>
        <v>#DIV/0!</v>
      </c>
      <c r="X138" s="23"/>
      <c r="Y138" s="23"/>
      <c r="Z138" s="23" t="s">
        <v>5134</v>
      </c>
      <c r="AE138" s="23">
        <v>5794981</v>
      </c>
      <c r="AF138" s="23"/>
      <c r="AG138" s="23"/>
      <c r="AH138" s="55"/>
      <c r="AI138" s="23" t="s">
        <v>5616</v>
      </c>
      <c r="AJ138" s="23"/>
      <c r="AK138" s="23"/>
      <c r="AL138" s="23"/>
      <c r="AM138" s="23"/>
      <c r="AO138" s="65"/>
      <c r="AP138" s="23"/>
      <c r="AQ138" s="41"/>
      <c r="AR138" s="42"/>
      <c r="AS138" s="23"/>
      <c r="AW138" s="23">
        <f>SUM(AT138:AV138)</f>
        <v>0</v>
      </c>
      <c r="AX138" s="41"/>
      <c r="AY138" s="44"/>
      <c r="AZ138" s="65"/>
      <c r="BA138" s="65"/>
      <c r="BB138" s="23"/>
      <c r="BC138" s="23"/>
      <c r="BD138" s="23"/>
      <c r="BE138" s="23"/>
      <c r="BF138" s="41"/>
      <c r="BG138" s="45"/>
      <c r="BH138" s="42"/>
      <c r="BI138" s="46"/>
    </row>
    <row r="139" spans="1:67" s="19" customFormat="1" x14ac:dyDescent="0.25">
      <c r="A139" s="55">
        <v>77799999</v>
      </c>
      <c r="B139" s="106" t="s">
        <v>5561</v>
      </c>
      <c r="C139" s="23">
        <v>1</v>
      </c>
      <c r="D139" s="23" t="s">
        <v>4871</v>
      </c>
      <c r="E139" s="110">
        <v>2021085</v>
      </c>
      <c r="F139" s="37"/>
      <c r="G139" s="37">
        <f>F139-K139</f>
        <v>0</v>
      </c>
      <c r="H139" s="20">
        <v>2021</v>
      </c>
      <c r="I139" s="37"/>
      <c r="J139" s="37"/>
      <c r="K139" s="37">
        <f>SUM(I139:J139)</f>
        <v>0</v>
      </c>
      <c r="L139" s="21">
        <v>0</v>
      </c>
      <c r="M139" s="23" t="s">
        <v>4880</v>
      </c>
      <c r="N139" s="22">
        <v>42711102</v>
      </c>
      <c r="O139" s="19" t="s">
        <v>579</v>
      </c>
      <c r="P139" s="23" t="s">
        <v>580</v>
      </c>
      <c r="Q139" s="38">
        <f>IFERROR(VLOOKUP(P139,[47]conductor_pz_summary_hftd_23_re!$B$2:$Q$3636,8,FALSE),0)</f>
        <v>20</v>
      </c>
      <c r="R139" s="38">
        <f>IFERROR(VLOOKUP(P139,[48]conductor_pz_summary_hftd_23_re!$B$2:$H$3636,7,0),0)/1609</f>
        <v>0.42401803587081976</v>
      </c>
      <c r="S139" s="23">
        <f>IFERROR(VLOOKUP(P139,[47]conductor_pz_summary_hftd_23_re!$B$2:$Q$3636,14,FALSE),0)</f>
        <v>3098</v>
      </c>
      <c r="T139" s="23">
        <f>IFERROR(U139*Q139,0)</f>
        <v>1.74139894046229E-4</v>
      </c>
      <c r="U139" s="23">
        <f>IFERROR(VLOOKUP(P139,[47]conductor_pz_summary_hftd_23_re!$B$2:$Q$3636,13,FALSE),0)</f>
        <v>8.7069947023114492E-6</v>
      </c>
      <c r="V139" s="79">
        <f>IFERROR(VLOOKUP(P139,conductor_pz_summary_hftd_23_re!$B$2:$N$3636,13,FALSE),0)</f>
        <v>3379</v>
      </c>
      <c r="W139" s="65" t="e">
        <f>(AJ139*0.67+AK139*0.99+AL139+AM139*0.99)/(SUM(AJ139:AM139))*T139*(F139/R139)</f>
        <v>#DIV/0!</v>
      </c>
      <c r="X139" s="23"/>
      <c r="Y139" s="23"/>
      <c r="Z139" s="23" t="s">
        <v>5134</v>
      </c>
      <c r="AE139" s="23">
        <v>5794986</v>
      </c>
      <c r="AF139" s="23"/>
      <c r="AG139" s="23"/>
      <c r="AH139" s="55"/>
      <c r="AI139" s="23" t="s">
        <v>5617</v>
      </c>
      <c r="AJ139" s="23"/>
      <c r="AK139" s="23"/>
      <c r="AL139" s="23"/>
      <c r="AM139" s="23"/>
      <c r="AO139" s="65"/>
      <c r="AP139" s="23"/>
      <c r="AQ139" s="41"/>
      <c r="AR139" s="42"/>
      <c r="AS139" s="23"/>
      <c r="AW139" s="23">
        <f>SUM(AT139:AV139)</f>
        <v>0</v>
      </c>
      <c r="AX139" s="41"/>
      <c r="AY139" s="44"/>
      <c r="AZ139" s="65"/>
      <c r="BA139" s="65"/>
      <c r="BB139" s="23"/>
      <c r="BC139" s="23"/>
      <c r="BD139" s="23"/>
      <c r="BE139" s="23"/>
      <c r="BF139" s="41"/>
      <c r="BG139" s="45"/>
      <c r="BH139" s="42"/>
      <c r="BI139" s="46"/>
    </row>
    <row r="140" spans="1:67" x14ac:dyDescent="0.25">
      <c r="A140" s="55">
        <v>77799999</v>
      </c>
      <c r="B140" s="106" t="s">
        <v>5561</v>
      </c>
      <c r="C140" s="23">
        <v>1</v>
      </c>
      <c r="D140" s="23" t="s">
        <v>4871</v>
      </c>
      <c r="E140" s="110">
        <v>2021086</v>
      </c>
      <c r="F140" s="37"/>
      <c r="G140" s="37">
        <f>F140-K140</f>
        <v>0</v>
      </c>
      <c r="H140" s="20">
        <v>2021</v>
      </c>
      <c r="I140" s="37"/>
      <c r="J140" s="37"/>
      <c r="K140" s="37">
        <f>SUM(I140:J140)</f>
        <v>0</v>
      </c>
      <c r="L140" s="21">
        <v>0</v>
      </c>
      <c r="M140" s="23" t="s">
        <v>4880</v>
      </c>
      <c r="N140" s="22">
        <v>163541101</v>
      </c>
      <c r="O140" s="19" t="s">
        <v>5471</v>
      </c>
      <c r="P140" s="23" t="s">
        <v>2959</v>
      </c>
      <c r="Q140" s="38">
        <f>IFERROR(VLOOKUP(P140,[47]conductor_pz_summary_hftd_23_re!$B$2:$Q$3636,8,FALSE),0)</f>
        <v>2</v>
      </c>
      <c r="R140" s="38">
        <f>IFERROR(VLOOKUP(P140,[48]conductor_pz_summary_hftd_23_re!$B$2:$H$3636,7,0),0)/1609</f>
        <v>8.4663906789275323E-2</v>
      </c>
      <c r="S140" s="23">
        <f>IFERROR(VLOOKUP(P140,[47]conductor_pz_summary_hftd_23_re!$B$2:$Q$3636,14,FALSE),0)</f>
        <v>95</v>
      </c>
      <c r="T140" s="23">
        <f>IFERROR(U140*Q140,0)</f>
        <v>0.70276555454816403</v>
      </c>
      <c r="U140" s="23">
        <f>IFERROR(VLOOKUP(P140,[47]conductor_pz_summary_hftd_23_re!$B$2:$Q$3636,13,FALSE),0)</f>
        <v>0.35138277727408201</v>
      </c>
      <c r="V140" s="79">
        <f>IFERROR(VLOOKUP(P140,conductor_pz_summary_hftd_23_re!$B$2:$N$3636,13,FALSE),0)</f>
        <v>461</v>
      </c>
      <c r="W140" s="65" t="e">
        <f>(AJ140*0.67+AK140*0.99+AL140+AM140*0.99)/(SUM(AJ140:AM140))*T140*(F140/R140)</f>
        <v>#DIV/0!</v>
      </c>
      <c r="X140" s="23"/>
      <c r="Y140" s="23"/>
      <c r="Z140" s="23" t="s">
        <v>5134</v>
      </c>
      <c r="AA140" s="19"/>
      <c r="AB140" s="19"/>
      <c r="AC140" s="19"/>
      <c r="AD140" s="19"/>
      <c r="AE140" s="23"/>
      <c r="AF140" s="23"/>
      <c r="AG140" s="23"/>
      <c r="AH140" s="55"/>
      <c r="AI140" s="23" t="s">
        <v>5618</v>
      </c>
      <c r="AJ140" s="23"/>
      <c r="AK140" s="23"/>
      <c r="AL140" s="23"/>
      <c r="AM140" s="23"/>
      <c r="AN140" s="19"/>
      <c r="AO140" s="65"/>
      <c r="AP140" s="23"/>
      <c r="AQ140" s="41"/>
      <c r="AR140" s="42"/>
      <c r="AS140" s="23"/>
      <c r="AT140" s="19"/>
      <c r="AU140" s="19"/>
      <c r="AV140" s="19"/>
      <c r="AW140" s="23">
        <f>SUM(AT140:AV140)</f>
        <v>0</v>
      </c>
      <c r="AX140" s="41"/>
      <c r="AY140" s="44"/>
      <c r="AZ140" s="65"/>
      <c r="BA140" s="65"/>
      <c r="BB140" s="23"/>
      <c r="BC140" s="23"/>
      <c r="BD140" s="23"/>
      <c r="BE140" s="23"/>
      <c r="BF140" s="41"/>
      <c r="BG140" s="45"/>
      <c r="BH140" s="42"/>
      <c r="BI140" s="46"/>
      <c r="BJ140" s="19"/>
      <c r="BK140" s="19"/>
      <c r="BL140" s="19"/>
      <c r="BM140" s="19"/>
      <c r="BN140" s="19"/>
      <c r="BO140" s="19"/>
    </row>
    <row r="141" spans="1:67" x14ac:dyDescent="0.25">
      <c r="A141" s="55">
        <v>77799999</v>
      </c>
      <c r="B141" s="106" t="s">
        <v>5561</v>
      </c>
      <c r="C141" s="23">
        <v>1</v>
      </c>
      <c r="D141" s="23" t="s">
        <v>4871</v>
      </c>
      <c r="E141" s="110">
        <v>2021087</v>
      </c>
      <c r="F141" s="37"/>
      <c r="G141" s="37">
        <f>F141-K141</f>
        <v>0</v>
      </c>
      <c r="H141" s="20">
        <v>2021</v>
      </c>
      <c r="I141" s="37"/>
      <c r="J141" s="37"/>
      <c r="K141" s="37">
        <f>SUM(I141:J141)</f>
        <v>0</v>
      </c>
      <c r="L141" s="21">
        <v>0</v>
      </c>
      <c r="M141" s="23" t="s">
        <v>4880</v>
      </c>
      <c r="N141" s="22">
        <v>42711102</v>
      </c>
      <c r="O141" s="19" t="s">
        <v>579</v>
      </c>
      <c r="P141" s="23" t="s">
        <v>581</v>
      </c>
      <c r="Q141" s="38">
        <f>IFERROR(VLOOKUP(P141,[47]conductor_pz_summary_hftd_23_re!$B$2:$Q$3636,8,FALSE),0)</f>
        <v>178</v>
      </c>
      <c r="R141" s="38">
        <f>IFERROR(VLOOKUP(P141,[48]conductor_pz_summary_hftd_23_re!$B$2:$H$3636,7,0),0)/1609</f>
        <v>11.216001152655066</v>
      </c>
      <c r="S141" s="23">
        <f>IFERROR(VLOOKUP(P141,[47]conductor_pz_summary_hftd_23_re!$B$2:$Q$3636,14,FALSE),0)</f>
        <v>1477</v>
      </c>
      <c r="T141" s="23">
        <f>IFERROR(U141*Q141,0)</f>
        <v>5.2283565049877918</v>
      </c>
      <c r="U141" s="23">
        <f>IFERROR(VLOOKUP(P141,[47]conductor_pz_summary_hftd_23_re!$B$2:$Q$3636,13,FALSE),0)</f>
        <v>2.9372789353864E-2</v>
      </c>
      <c r="V141" s="79">
        <f>IFERROR(VLOOKUP(P141,conductor_pz_summary_hftd_23_re!$B$2:$N$3636,13,FALSE),0)</f>
        <v>1599</v>
      </c>
      <c r="W141" s="65" t="e">
        <f>(AJ141*0.67+AK141*0.99+AL141+AM141*0.99)/(SUM(AJ141:AM141))*T141*(F141/R141)</f>
        <v>#DIV/0!</v>
      </c>
      <c r="X141" s="23"/>
      <c r="Y141" s="23"/>
      <c r="Z141" s="23" t="s">
        <v>5134</v>
      </c>
      <c r="AA141" s="19"/>
      <c r="AB141" s="19"/>
      <c r="AC141" s="19"/>
      <c r="AD141" s="19"/>
      <c r="AE141" s="23">
        <v>5794986</v>
      </c>
      <c r="AF141" s="23"/>
      <c r="AG141" s="23"/>
      <c r="AH141" s="55"/>
      <c r="AI141" s="23" t="s">
        <v>5619</v>
      </c>
      <c r="AJ141" s="23"/>
      <c r="AK141" s="23"/>
      <c r="AL141" s="23"/>
      <c r="AM141" s="23"/>
      <c r="AN141" s="19"/>
      <c r="AO141" s="65"/>
      <c r="AP141" s="23"/>
      <c r="AQ141" s="41"/>
      <c r="AR141" s="42"/>
      <c r="AS141" s="23"/>
      <c r="AT141" s="19"/>
      <c r="AU141" s="19"/>
      <c r="AV141" s="19"/>
      <c r="AW141" s="23">
        <f>SUM(AT141:AV141)</f>
        <v>0</v>
      </c>
      <c r="AX141" s="41"/>
      <c r="AY141" s="44"/>
      <c r="AZ141" s="65"/>
      <c r="BA141" s="65"/>
      <c r="BB141" s="23"/>
      <c r="BC141" s="23"/>
      <c r="BD141" s="23"/>
      <c r="BE141" s="23"/>
      <c r="BF141" s="41"/>
      <c r="BG141" s="45"/>
      <c r="BH141" s="42"/>
      <c r="BI141" s="46"/>
      <c r="BJ141" s="19"/>
      <c r="BK141" s="19"/>
      <c r="BL141" s="19"/>
      <c r="BM141" s="19"/>
      <c r="BN141" s="19"/>
      <c r="BO141" s="19"/>
    </row>
    <row r="142" spans="1:67" x14ac:dyDescent="0.25">
      <c r="A142" s="55">
        <v>77799999</v>
      </c>
      <c r="B142" s="106" t="s">
        <v>5561</v>
      </c>
      <c r="C142" s="23">
        <v>1</v>
      </c>
      <c r="D142" s="23" t="s">
        <v>4871</v>
      </c>
      <c r="E142" s="110">
        <v>2021088</v>
      </c>
      <c r="F142" s="37"/>
      <c r="G142" s="37">
        <f>F142-K142</f>
        <v>0</v>
      </c>
      <c r="H142" s="20">
        <v>2021</v>
      </c>
      <c r="I142" s="37"/>
      <c r="J142" s="37"/>
      <c r="K142" s="37">
        <f>SUM(I142:J142)</f>
        <v>0</v>
      </c>
      <c r="L142" s="21">
        <v>0</v>
      </c>
      <c r="M142" s="23" t="s">
        <v>4880</v>
      </c>
      <c r="N142" s="22">
        <v>152101101</v>
      </c>
      <c r="O142" s="19" t="s">
        <v>30</v>
      </c>
      <c r="P142" s="23" t="s">
        <v>37</v>
      </c>
      <c r="Q142" s="38">
        <f>IFERROR(VLOOKUP(P142,[47]conductor_pz_summary_hftd_23_re!$B$2:$Q$3636,8,FALSE),0)</f>
        <v>49</v>
      </c>
      <c r="R142" s="38">
        <f>IFERROR(VLOOKUP(P142,[48]conductor_pz_summary_hftd_23_re!$B$2:$H$3636,7,0),0)/1609</f>
        <v>4.1490947932397697</v>
      </c>
      <c r="S142" s="23">
        <f>IFERROR(VLOOKUP(P142,[47]conductor_pz_summary_hftd_23_re!$B$2:$Q$3636,14,FALSE),0)</f>
        <v>2010</v>
      </c>
      <c r="T142" s="23">
        <f>IFERROR(U142*Q142,0)</f>
        <v>0.43385097537113704</v>
      </c>
      <c r="U142" s="23">
        <f>IFERROR(VLOOKUP(P142,[47]conductor_pz_summary_hftd_23_re!$B$2:$Q$3636,13,FALSE),0)</f>
        <v>8.8541015381864707E-3</v>
      </c>
      <c r="V142" s="79">
        <f>IFERROR(VLOOKUP(P142,conductor_pz_summary_hftd_23_re!$B$2:$N$3636,13,FALSE),0)</f>
        <v>2312</v>
      </c>
      <c r="W142" s="65" t="e">
        <f>(AJ142*0.67+AK142*0.99+AL142+AM142*0.99)/(SUM(AJ142:AM142))*T142*(F142/R142)</f>
        <v>#DIV/0!</v>
      </c>
      <c r="X142" s="23"/>
      <c r="Y142" s="23"/>
      <c r="Z142" s="23" t="s">
        <v>5134</v>
      </c>
      <c r="AA142" s="19"/>
      <c r="AB142" s="19"/>
      <c r="AC142" s="19"/>
      <c r="AD142" s="19"/>
      <c r="AE142" s="23">
        <v>5794984</v>
      </c>
      <c r="AF142" s="23"/>
      <c r="AG142" s="23"/>
      <c r="AH142" s="55"/>
      <c r="AI142" s="23" t="s">
        <v>5620</v>
      </c>
      <c r="AJ142" s="23"/>
      <c r="AK142" s="23"/>
      <c r="AL142" s="23"/>
      <c r="AM142" s="23"/>
      <c r="AN142" s="19"/>
      <c r="AO142" s="65"/>
      <c r="AP142" s="23"/>
      <c r="AQ142" s="41"/>
      <c r="AR142" s="42"/>
      <c r="AS142" s="23"/>
      <c r="AT142" s="19"/>
      <c r="AU142" s="19"/>
      <c r="AV142" s="19"/>
      <c r="AW142" s="23">
        <f>SUM(AT142:AV142)</f>
        <v>0</v>
      </c>
      <c r="AX142" s="41"/>
      <c r="AY142" s="44"/>
      <c r="AZ142" s="65"/>
      <c r="BA142" s="65"/>
      <c r="BB142" s="23"/>
      <c r="BC142" s="23"/>
      <c r="BD142" s="23"/>
      <c r="BE142" s="23"/>
      <c r="BF142" s="41"/>
      <c r="BG142" s="45"/>
      <c r="BH142" s="42"/>
      <c r="BI142" s="46"/>
      <c r="BJ142" s="19"/>
      <c r="BK142" s="19"/>
      <c r="BL142" s="19"/>
      <c r="BM142" s="19"/>
      <c r="BN142" s="19"/>
      <c r="BO142" s="19"/>
    </row>
    <row r="143" spans="1:67" x14ac:dyDescent="0.25">
      <c r="A143" s="55">
        <v>77799999</v>
      </c>
      <c r="B143" s="106" t="s">
        <v>5561</v>
      </c>
      <c r="C143" s="23">
        <v>1</v>
      </c>
      <c r="D143" s="23" t="s">
        <v>4871</v>
      </c>
      <c r="E143" s="110">
        <v>2021089</v>
      </c>
      <c r="F143" s="37">
        <v>2</v>
      </c>
      <c r="G143" s="37">
        <f>F143-K143</f>
        <v>2</v>
      </c>
      <c r="H143" s="20">
        <v>2021</v>
      </c>
      <c r="I143" s="37"/>
      <c r="J143" s="37"/>
      <c r="K143" s="37">
        <f>SUM(I143:J143)</f>
        <v>0</v>
      </c>
      <c r="L143" s="21">
        <v>0</v>
      </c>
      <c r="M143" s="23" t="s">
        <v>4880</v>
      </c>
      <c r="N143" s="22">
        <v>43071101</v>
      </c>
      <c r="O143" s="19" t="s">
        <v>1190</v>
      </c>
      <c r="P143" s="23" t="s">
        <v>1199</v>
      </c>
      <c r="Q143" s="38">
        <f>IFERROR(VLOOKUP(P143,[47]conductor_pz_summary_hftd_23_re!$B$2:$Q$3636,8,FALSE),0)</f>
        <v>191</v>
      </c>
      <c r="R143" s="38">
        <f>IFERROR(VLOOKUP(P143,[48]conductor_pz_summary_hftd_23_re!$B$2:$H$3636,7,0),0)/1609</f>
        <v>3.1203148217925047</v>
      </c>
      <c r="S143" s="23">
        <f>IFERROR(VLOOKUP(P143,[47]conductor_pz_summary_hftd_23_re!$B$2:$Q$3636,14,FALSE),0)</f>
        <v>2048</v>
      </c>
      <c r="T143" s="23">
        <f>IFERROR(U143*Q143,0)</f>
        <v>1.5266650751433082</v>
      </c>
      <c r="U143" s="23">
        <f>IFERROR(VLOOKUP(P143,[47]conductor_pz_summary_hftd_23_re!$B$2:$Q$3636,13,FALSE),0)</f>
        <v>7.9930108646246497E-3</v>
      </c>
      <c r="V143" s="79">
        <f>IFERROR(VLOOKUP(P143,conductor_pz_summary_hftd_23_re!$B$2:$N$3636,13,FALSE),0)</f>
        <v>2185</v>
      </c>
      <c r="W143" s="65">
        <f>(AJ143*0.67+AK143*0.99+AL143+AM143*0.99)/(SUM(AJ143:AM143))*T143*(F143/R143)</f>
        <v>0.96874739294648027</v>
      </c>
      <c r="X143" s="23"/>
      <c r="Y143" s="23"/>
      <c r="Z143" s="23" t="s">
        <v>5134</v>
      </c>
      <c r="AA143" s="19"/>
      <c r="AB143" s="19"/>
      <c r="AC143" s="19"/>
      <c r="AD143" s="19"/>
      <c r="AE143" s="23">
        <v>5794985</v>
      </c>
      <c r="AF143" s="23"/>
      <c r="AG143" s="23"/>
      <c r="AH143" s="55"/>
      <c r="AI143" s="23" t="s">
        <v>5621</v>
      </c>
      <c r="AJ143" s="23"/>
      <c r="AK143" s="23">
        <f>2*5280</f>
        <v>10560</v>
      </c>
      <c r="AL143" s="23"/>
      <c r="AM143" s="23"/>
      <c r="AN143" s="19"/>
      <c r="AO143" s="65"/>
      <c r="AP143" s="23"/>
      <c r="AQ143" s="41"/>
      <c r="AR143" s="42"/>
      <c r="AS143" s="23"/>
      <c r="AT143" s="19"/>
      <c r="AU143" s="19"/>
      <c r="AV143" s="19"/>
      <c r="AW143" s="23">
        <f>SUM(AT143:AV143)</f>
        <v>0</v>
      </c>
      <c r="AX143" s="41"/>
      <c r="AY143" s="44"/>
      <c r="AZ143" s="65"/>
      <c r="BA143" s="65"/>
      <c r="BB143" s="23"/>
      <c r="BC143" s="23"/>
      <c r="BD143" s="23"/>
      <c r="BE143" s="23"/>
      <c r="BF143" s="41"/>
      <c r="BG143" s="45"/>
      <c r="BH143" s="42"/>
      <c r="BI143" s="46"/>
      <c r="BJ143" s="19"/>
      <c r="BK143" s="19"/>
      <c r="BL143" s="19"/>
      <c r="BM143" s="19"/>
      <c r="BN143" s="19"/>
      <c r="BO143" s="19"/>
    </row>
    <row r="144" spans="1:67" x14ac:dyDescent="0.25">
      <c r="A144" s="55">
        <v>77799999</v>
      </c>
      <c r="B144" s="106" t="s">
        <v>5561</v>
      </c>
      <c r="C144" s="23">
        <v>1</v>
      </c>
      <c r="D144" s="23" t="s">
        <v>4871</v>
      </c>
      <c r="E144" s="110">
        <v>2021090</v>
      </c>
      <c r="F144" s="37"/>
      <c r="G144" s="37">
        <f>F144-K144</f>
        <v>0</v>
      </c>
      <c r="H144" s="20">
        <v>2021</v>
      </c>
      <c r="I144" s="37"/>
      <c r="J144" s="37"/>
      <c r="K144" s="37">
        <f>SUM(I144:J144)</f>
        <v>0</v>
      </c>
      <c r="L144" s="21">
        <v>0</v>
      </c>
      <c r="M144" s="23" t="s">
        <v>4880</v>
      </c>
      <c r="N144" s="22">
        <v>152282102</v>
      </c>
      <c r="O144" s="19" t="s">
        <v>2681</v>
      </c>
      <c r="P144" s="23" t="s">
        <v>2692</v>
      </c>
      <c r="Q144" s="38">
        <f>IFERROR(VLOOKUP(P144,[47]conductor_pz_summary_hftd_23_re!$B$2:$Q$3636,8,FALSE),0)</f>
        <v>262</v>
      </c>
      <c r="R144" s="38">
        <f>IFERROR(VLOOKUP(P144,[48]conductor_pz_summary_hftd_23_re!$B$2:$H$3636,7,0),0)/1609</f>
        <v>24.994124755822622</v>
      </c>
      <c r="S144" s="23">
        <f>IFERROR(VLOOKUP(P144,[47]conductor_pz_summary_hftd_23_re!$B$2:$Q$3636,14,FALSE),0)</f>
        <v>68</v>
      </c>
      <c r="T144" s="23">
        <f>IFERROR(U144*Q144,0)</f>
        <v>101.30316290156117</v>
      </c>
      <c r="U144" s="23">
        <f>IFERROR(VLOOKUP(P144,[47]conductor_pz_summary_hftd_23_re!$B$2:$Q$3636,13,FALSE),0)</f>
        <v>0.38665329351740901</v>
      </c>
      <c r="V144" s="79">
        <f>IFERROR(VLOOKUP(P144,conductor_pz_summary_hftd_23_re!$B$2:$N$3636,13,FALSE),0)</f>
        <v>328</v>
      </c>
      <c r="W144" s="65" t="e">
        <f>(AJ144*0.67+AK144*0.99+AL144+AM144*0.99)/(SUM(AJ144:AM144))*T144*(F144/R144)</f>
        <v>#DIV/0!</v>
      </c>
      <c r="X144" s="23"/>
      <c r="Y144" s="23"/>
      <c r="Z144" s="23" t="s">
        <v>5134</v>
      </c>
      <c r="AA144" s="19"/>
      <c r="AB144" s="19"/>
      <c r="AC144" s="19"/>
      <c r="AD144" s="19"/>
      <c r="AE144" s="23">
        <v>5794982</v>
      </c>
      <c r="AF144" s="23"/>
      <c r="AG144" s="23"/>
      <c r="AH144" s="55"/>
      <c r="AI144" s="23" t="s">
        <v>5622</v>
      </c>
      <c r="AJ144" s="23"/>
      <c r="AK144" s="23"/>
      <c r="AL144" s="23"/>
      <c r="AM144" s="23"/>
      <c r="AN144" s="19"/>
      <c r="AO144" s="65"/>
      <c r="AP144" s="23"/>
      <c r="AQ144" s="41"/>
      <c r="AR144" s="42"/>
      <c r="AS144" s="23"/>
      <c r="AT144" s="19"/>
      <c r="AU144" s="19"/>
      <c r="AV144" s="19"/>
      <c r="AW144" s="23">
        <f>SUM(AT144:AV144)</f>
        <v>0</v>
      </c>
      <c r="AX144" s="41"/>
      <c r="AY144" s="44"/>
      <c r="AZ144" s="65"/>
      <c r="BA144" s="65"/>
      <c r="BB144" s="23"/>
      <c r="BC144" s="23"/>
      <c r="BD144" s="23"/>
      <c r="BE144" s="23"/>
      <c r="BF144" s="41"/>
      <c r="BG144" s="45"/>
      <c r="BH144" s="42"/>
      <c r="BI144" s="46"/>
      <c r="BJ144" s="19"/>
      <c r="BK144" s="19"/>
      <c r="BL144" s="19"/>
      <c r="BM144" s="19"/>
      <c r="BN144" s="19"/>
      <c r="BO144" s="19"/>
    </row>
    <row r="145" spans="1:67" x14ac:dyDescent="0.25">
      <c r="A145" s="55">
        <v>77799999</v>
      </c>
      <c r="B145" s="106" t="s">
        <v>5561</v>
      </c>
      <c r="C145" s="23">
        <v>1</v>
      </c>
      <c r="D145" s="23" t="s">
        <v>4871</v>
      </c>
      <c r="E145" s="110">
        <v>2021091</v>
      </c>
      <c r="F145" s="37"/>
      <c r="G145" s="37">
        <f>F145-K145</f>
        <v>0</v>
      </c>
      <c r="H145" s="20">
        <v>2021</v>
      </c>
      <c r="I145" s="37"/>
      <c r="J145" s="37"/>
      <c r="K145" s="37">
        <f>SUM(I145:J145)</f>
        <v>0</v>
      </c>
      <c r="L145" s="21">
        <v>0</v>
      </c>
      <c r="M145" s="23" t="s">
        <v>4880</v>
      </c>
      <c r="N145" s="22">
        <v>254421101</v>
      </c>
      <c r="O145" s="19" t="s">
        <v>2764</v>
      </c>
      <c r="P145" s="23" t="s">
        <v>2767</v>
      </c>
      <c r="Q145" s="38">
        <f>IFERROR(VLOOKUP(P145,[47]conductor_pz_summary_hftd_23_re!$B$2:$Q$3636,8,FALSE),0)</f>
        <v>47</v>
      </c>
      <c r="R145" s="38">
        <f>IFERROR(VLOOKUP(P145,[48]conductor_pz_summary_hftd_23_re!$B$2:$H$3636,7,0),0)/1609</f>
        <v>2.3149015280017342</v>
      </c>
      <c r="S145" s="23">
        <f>IFERROR(VLOOKUP(P145,[47]conductor_pz_summary_hftd_23_re!$B$2:$Q$3636,14,FALSE),0)</f>
        <v>847</v>
      </c>
      <c r="T145" s="23">
        <f>IFERROR(U145*Q145,0)</f>
        <v>4.0693851733525683</v>
      </c>
      <c r="U145" s="23">
        <f>IFERROR(VLOOKUP(P145,[47]conductor_pz_summary_hftd_23_re!$B$2:$Q$3636,13,FALSE),0)</f>
        <v>8.6582663262820603E-2</v>
      </c>
      <c r="V145" s="79">
        <f>IFERROR(VLOOKUP(P145,conductor_pz_summary_hftd_23_re!$B$2:$N$3636,13,FALSE),0)</f>
        <v>802</v>
      </c>
      <c r="W145" s="65" t="e">
        <f>(AJ145*0.67+AK145*0.99+AL145+AM145*0.99)/(SUM(AJ145:AM145))*T145*(F145/R145)</f>
        <v>#DIV/0!</v>
      </c>
      <c r="X145" s="23"/>
      <c r="Y145" s="23"/>
      <c r="Z145" s="23" t="s">
        <v>5134</v>
      </c>
      <c r="AA145" s="19"/>
      <c r="AB145" s="19"/>
      <c r="AC145" s="19"/>
      <c r="AD145" s="19"/>
      <c r="AE145" s="23">
        <v>5794989</v>
      </c>
      <c r="AF145" s="23"/>
      <c r="AG145" s="23"/>
      <c r="AH145" s="55"/>
      <c r="AI145" s="23" t="s">
        <v>5623</v>
      </c>
      <c r="AJ145" s="23"/>
      <c r="AK145" s="23"/>
      <c r="AL145" s="23"/>
      <c r="AM145" s="23"/>
      <c r="AN145" s="19"/>
      <c r="AO145" s="65"/>
      <c r="AP145" s="23"/>
      <c r="AQ145" s="41"/>
      <c r="AR145" s="42"/>
      <c r="AS145" s="23"/>
      <c r="AT145" s="19"/>
      <c r="AU145" s="19"/>
      <c r="AV145" s="19"/>
      <c r="AW145" s="23">
        <f>SUM(AT145:AV145)</f>
        <v>0</v>
      </c>
      <c r="AX145" s="41"/>
      <c r="AY145" s="44"/>
      <c r="AZ145" s="65"/>
      <c r="BA145" s="65"/>
      <c r="BB145" s="23"/>
      <c r="BC145" s="23"/>
      <c r="BD145" s="23"/>
      <c r="BE145" s="23"/>
      <c r="BF145" s="41"/>
      <c r="BG145" s="45"/>
      <c r="BH145" s="42"/>
      <c r="BI145" s="46"/>
      <c r="BJ145" s="19"/>
      <c r="BK145" s="19"/>
      <c r="BL145" s="19"/>
      <c r="BM145" s="19"/>
      <c r="BN145" s="19"/>
      <c r="BO145" s="19"/>
    </row>
    <row r="146" spans="1:67" x14ac:dyDescent="0.25">
      <c r="A146" s="55">
        <v>77799999</v>
      </c>
      <c r="B146" s="106" t="s">
        <v>5561</v>
      </c>
      <c r="C146" s="23">
        <v>1</v>
      </c>
      <c r="D146" s="23" t="s">
        <v>4871</v>
      </c>
      <c r="E146" s="110">
        <v>2021092</v>
      </c>
      <c r="F146" s="37">
        <f>1600/5280</f>
        <v>0.30303030303030304</v>
      </c>
      <c r="G146" s="37">
        <f>F146-K146</f>
        <v>0.30303030303030304</v>
      </c>
      <c r="H146" s="20">
        <v>2021</v>
      </c>
      <c r="I146" s="37"/>
      <c r="J146" s="37"/>
      <c r="K146" s="37">
        <f>SUM(I146:J146)</f>
        <v>0</v>
      </c>
      <c r="L146" s="21">
        <v>0</v>
      </c>
      <c r="M146" s="23" t="s">
        <v>4880</v>
      </c>
      <c r="N146" s="22">
        <v>102911109</v>
      </c>
      <c r="O146" s="19" t="s">
        <v>4784</v>
      </c>
      <c r="P146" s="23" t="s">
        <v>4791</v>
      </c>
      <c r="Q146" s="38">
        <f>IFERROR(VLOOKUP(P146,[47]conductor_pz_summary_hftd_23_re!$B$2:$Q$3636,8,FALSE),0)</f>
        <v>49</v>
      </c>
      <c r="R146" s="38">
        <f>IFERROR(VLOOKUP(P146,[48]conductor_pz_summary_hftd_23_re!$B$2:$H$3636,7,0),0)/1609</f>
        <v>2.6641116426263767</v>
      </c>
      <c r="S146" s="23">
        <f>IFERROR(VLOOKUP(P146,[47]conductor_pz_summary_hftd_23_re!$B$2:$Q$3636,14,FALSE),0)</f>
        <v>218</v>
      </c>
      <c r="T146" s="23">
        <f>IFERROR(U146*Q146,0)</f>
        <v>12.17398052562832</v>
      </c>
      <c r="U146" s="23">
        <f>IFERROR(VLOOKUP(P146,[47]conductor_pz_summary_hftd_23_re!$B$2:$Q$3636,13,FALSE),0)</f>
        <v>0.24844858215568</v>
      </c>
      <c r="V146" s="79">
        <f>IFERROR(VLOOKUP(P146,conductor_pz_summary_hftd_23_re!$B$2:$N$3636,13,FALSE),0)</f>
        <v>672</v>
      </c>
      <c r="W146" s="65">
        <f>(AJ146*0.67+AK146*0.99+AL146+AM146*0.99)/(SUM(AJ146:AM146))*T146*(F146/R146)</f>
        <v>1.3708863019299118</v>
      </c>
      <c r="X146" s="23"/>
      <c r="Y146" s="23"/>
      <c r="Z146" s="23" t="s">
        <v>5134</v>
      </c>
      <c r="AA146" s="19"/>
      <c r="AB146" s="19"/>
      <c r="AC146" s="19"/>
      <c r="AD146" s="19"/>
      <c r="AE146" s="23">
        <v>5794987</v>
      </c>
      <c r="AF146" s="23"/>
      <c r="AG146" s="23"/>
      <c r="AH146" s="55"/>
      <c r="AI146" s="23" t="s">
        <v>5624</v>
      </c>
      <c r="AJ146" s="23"/>
      <c r="AK146" s="23">
        <v>1600</v>
      </c>
      <c r="AL146" s="23"/>
      <c r="AM146" s="23"/>
      <c r="AN146" s="19"/>
      <c r="AO146" s="65"/>
      <c r="AP146" s="23"/>
      <c r="AQ146" s="41"/>
      <c r="AR146" s="42"/>
      <c r="AS146" s="23"/>
      <c r="AT146" s="19"/>
      <c r="AU146" s="19"/>
      <c r="AV146" s="19"/>
      <c r="AW146" s="23">
        <f>SUM(AT146:AV146)</f>
        <v>0</v>
      </c>
      <c r="AX146" s="41"/>
      <c r="AY146" s="44"/>
      <c r="AZ146" s="65"/>
      <c r="BA146" s="65"/>
      <c r="BB146" s="23"/>
      <c r="BC146" s="23"/>
      <c r="BD146" s="23"/>
      <c r="BE146" s="23"/>
      <c r="BF146" s="41"/>
      <c r="BG146" s="45"/>
      <c r="BH146" s="42"/>
      <c r="BI146" s="46"/>
      <c r="BJ146" s="19"/>
      <c r="BK146" s="19"/>
      <c r="BL146" s="19"/>
      <c r="BM146" s="19"/>
      <c r="BN146" s="19"/>
      <c r="BO146" s="19"/>
    </row>
    <row r="147" spans="1:67" x14ac:dyDescent="0.25">
      <c r="A147" s="55">
        <v>77799999</v>
      </c>
      <c r="B147" s="106" t="s">
        <v>5561</v>
      </c>
      <c r="C147" s="23">
        <v>0</v>
      </c>
      <c r="D147" s="23" t="s">
        <v>4871</v>
      </c>
      <c r="E147" s="110">
        <v>2021093</v>
      </c>
      <c r="F147" s="37">
        <f>3000/5280</f>
        <v>0.56818181818181823</v>
      </c>
      <c r="G147" s="37">
        <f>F147-K147</f>
        <v>0.56818181818181823</v>
      </c>
      <c r="H147" s="20">
        <v>2021</v>
      </c>
      <c r="I147" s="37"/>
      <c r="J147" s="37"/>
      <c r="K147" s="37">
        <f>SUM(I147:J147)</f>
        <v>0</v>
      </c>
      <c r="L147" s="21">
        <v>0</v>
      </c>
      <c r="M147" s="23" t="s">
        <v>4880</v>
      </c>
      <c r="N147" s="22">
        <v>153082106</v>
      </c>
      <c r="O147" s="19" t="s">
        <v>3366</v>
      </c>
      <c r="P147" s="23" t="s">
        <v>3372</v>
      </c>
      <c r="Q147" s="38">
        <f>IFERROR(VLOOKUP(P147,[47]conductor_pz_summary_hftd_23_re!$B$2:$Q$3636,8,FALSE),0)</f>
        <v>745</v>
      </c>
      <c r="R147" s="38">
        <f>IFERROR(VLOOKUP(P147,[48]conductor_pz_summary_hftd_23_re!$B$2:$H$3636,7,0),0)/1609</f>
        <v>67.365649554006211</v>
      </c>
      <c r="S147" s="23">
        <f>IFERROR(VLOOKUP(P147,[47]conductor_pz_summary_hftd_23_re!$B$2:$Q$3636,14,FALSE),0)</f>
        <v>1363</v>
      </c>
      <c r="T147" s="23">
        <f>IFERROR(U147*Q147,0)</f>
        <v>26.468931840590933</v>
      </c>
      <c r="U147" s="23">
        <f>IFERROR(VLOOKUP(P147,[47]conductor_pz_summary_hftd_23_re!$B$2:$Q$3636,13,FALSE),0)</f>
        <v>3.5528767571262998E-2</v>
      </c>
      <c r="V147" s="79">
        <f>IFERROR(VLOOKUP(P147,conductor_pz_summary_hftd_23_re!$B$2:$N$3636,13,FALSE),0)</f>
        <v>1360</v>
      </c>
      <c r="W147" s="65">
        <f>(AJ147*0.67+AK147*0.99+AL147+AM147*0.99)/(SUM(AJ147:AM147))*T147*(F147/R147)</f>
        <v>0.22101433384675157</v>
      </c>
      <c r="X147" s="23"/>
      <c r="Y147" s="23"/>
      <c r="Z147" s="23" t="s">
        <v>5134</v>
      </c>
      <c r="AA147" s="19"/>
      <c r="AB147" s="19"/>
      <c r="AC147" s="19"/>
      <c r="AD147" s="19"/>
      <c r="AE147" s="23"/>
      <c r="AF147" s="23"/>
      <c r="AG147" s="23"/>
      <c r="AH147" s="55"/>
      <c r="AI147" s="23" t="s">
        <v>5625</v>
      </c>
      <c r="AJ147" s="23"/>
      <c r="AK147" s="23">
        <v>3000</v>
      </c>
      <c r="AL147" s="23"/>
      <c r="AM147" s="23"/>
      <c r="AN147" s="19"/>
      <c r="AO147" s="65"/>
      <c r="AP147" s="23"/>
      <c r="AQ147" s="41"/>
      <c r="AR147" s="42"/>
      <c r="AS147" s="23"/>
      <c r="AT147" s="19"/>
      <c r="AU147" s="19"/>
      <c r="AV147" s="19"/>
      <c r="AW147" s="23">
        <f>SUM(AT147:AV147)</f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  <c r="BJ147" s="19"/>
      <c r="BK147" s="19"/>
      <c r="BL147" s="19"/>
      <c r="BM147" s="19"/>
      <c r="BN147" s="19"/>
      <c r="BO147" s="19"/>
    </row>
    <row r="148" spans="1:67" x14ac:dyDescent="0.25">
      <c r="A148" s="59" t="s">
        <v>5468</v>
      </c>
      <c r="B148" s="106" t="s">
        <v>5561</v>
      </c>
      <c r="C148" s="23">
        <v>2</v>
      </c>
      <c r="D148" s="23" t="s">
        <v>4871</v>
      </c>
      <c r="E148" s="110">
        <v>2021094</v>
      </c>
      <c r="F148" s="23">
        <f>800/5280</f>
        <v>0.15151515151515152</v>
      </c>
      <c r="G148" s="37">
        <f>F148-K148</f>
        <v>0.15151515151515152</v>
      </c>
      <c r="H148" s="20">
        <v>2021</v>
      </c>
      <c r="I148" s="37"/>
      <c r="J148" s="37"/>
      <c r="K148" s="37">
        <f>SUM(I148:J148)</f>
        <v>0</v>
      </c>
      <c r="L148" s="21">
        <v>0</v>
      </c>
      <c r="M148" s="23" t="s">
        <v>4880</v>
      </c>
      <c r="N148" s="22">
        <v>153081112</v>
      </c>
      <c r="O148" s="19" t="s">
        <v>3362</v>
      </c>
      <c r="P148" s="23" t="s">
        <v>3364</v>
      </c>
      <c r="Q148" s="38">
        <f>IFERROR(VLOOKUP(P148,[47]conductor_pz_summary_hftd_23_re!$B$2:$Q$3636,8,FALSE),0)</f>
        <v>117</v>
      </c>
      <c r="R148" s="38">
        <f>IFERROR(VLOOKUP(P148,[48]conductor_pz_summary_hftd_23_re!$B$2:$H$3636,7,0),0)/1609</f>
        <v>8.512969057158422</v>
      </c>
      <c r="S148" s="23">
        <f>IFERROR(VLOOKUP(P148,[47]conductor_pz_summary_hftd_23_re!$B$2:$Q$3636,14,FALSE),0)</f>
        <v>2123</v>
      </c>
      <c r="T148" s="23">
        <f>IFERROR(U148*Q148,0)</f>
        <v>0.76223238625060019</v>
      </c>
      <c r="U148" s="23">
        <f>IFERROR(VLOOKUP(P148,[47]conductor_pz_summary_hftd_23_re!$B$2:$Q$3636,13,FALSE),0)</f>
        <v>6.5148067200905997E-3</v>
      </c>
      <c r="V148" s="79">
        <f>IFERROR(VLOOKUP(P148,conductor_pz_summary_hftd_23_re!$B$2:$N$3636,13,FALSE),0)</f>
        <v>2310</v>
      </c>
      <c r="W148" s="65" t="e">
        <f>(AJ148*0.67+AK148*0.99+AL148+AM148*0.99)/(SUM(AJ148:AM148))*T148*(F148/R148)</f>
        <v>#DIV/0!</v>
      </c>
      <c r="X148" s="23"/>
      <c r="Y148" s="23"/>
      <c r="Z148" s="23" t="s">
        <v>5134</v>
      </c>
      <c r="AA148" s="19" t="s">
        <v>5077</v>
      </c>
      <c r="AB148" s="19" t="s">
        <v>4890</v>
      </c>
      <c r="AC148" s="19" t="s">
        <v>4891</v>
      </c>
      <c r="AD148" s="19" t="s">
        <v>4877</v>
      </c>
      <c r="AE148" s="126">
        <v>5543321</v>
      </c>
      <c r="AF148" s="126" t="s">
        <v>5606</v>
      </c>
      <c r="AG148" s="126">
        <v>120135655</v>
      </c>
      <c r="AH148" s="79">
        <v>35219542</v>
      </c>
      <c r="AI148" s="23" t="s">
        <v>5626</v>
      </c>
      <c r="AJ148" s="23"/>
      <c r="AK148" s="23"/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>SUM(AT148:AV148)</f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79">
        <v>35219096</v>
      </c>
      <c r="B149" s="106" t="s">
        <v>5464</v>
      </c>
      <c r="C149" s="79">
        <v>2</v>
      </c>
      <c r="D149" s="79" t="s">
        <v>4871</v>
      </c>
      <c r="E149" s="65">
        <v>2021202</v>
      </c>
      <c r="F149" s="79">
        <v>5.75</v>
      </c>
      <c r="G149" s="37">
        <f>F149-K149</f>
        <v>5.75</v>
      </c>
      <c r="H149" s="79">
        <v>2021</v>
      </c>
      <c r="I149" s="65"/>
      <c r="J149" s="65"/>
      <c r="K149" s="37">
        <f>SUM(I149:J149)</f>
        <v>0</v>
      </c>
      <c r="L149" s="21">
        <v>0</v>
      </c>
      <c r="M149" s="79" t="s">
        <v>4880</v>
      </c>
      <c r="N149" s="65">
        <v>14452104</v>
      </c>
      <c r="O149" s="65" t="s">
        <v>2060</v>
      </c>
      <c r="P149" s="79" t="s">
        <v>2059</v>
      </c>
      <c r="Q149" s="38">
        <f>IFERROR(VLOOKUP(P149,[47]conductor_pz_summary_hftd_23_re!$B$2:$Q$3636,8,FALSE),0)</f>
        <v>30</v>
      </c>
      <c r="R149" s="38">
        <f>IFERROR(VLOOKUP(P149,[48]conductor_pz_summary_hftd_23_re!$B$2:$H$3636,7,0),0)/1609</f>
        <v>5.7542231349130013</v>
      </c>
      <c r="S149" s="23">
        <f>IFERROR(VLOOKUP(P149,[47]conductor_pz_summary_hftd_23_re!$B$2:$Q$3636,14,FALSE),0)</f>
        <v>21</v>
      </c>
      <c r="T149" s="23">
        <f>IFERROR(U149*Q149,0)</f>
        <v>18.436070899163731</v>
      </c>
      <c r="U149" s="23">
        <f>IFERROR(VLOOKUP(P149,[47]conductor_pz_summary_hftd_23_re!$B$2:$Q$3636,13,FALSE),0)</f>
        <v>0.61453569663879104</v>
      </c>
      <c r="V149" s="79">
        <f>IFERROR(VLOOKUP(P149,conductor_pz_summary_hftd_23_re!$B$2:$N$3636,13,FALSE),0)</f>
        <v>21</v>
      </c>
      <c r="W149" s="65" t="e">
        <f>(AJ149*0.67+AK149*0.99+AL149+AM149*0.99)/(SUM(AJ149:AM149))*T149*(F149/R149)</f>
        <v>#DIV/0!</v>
      </c>
      <c r="X149" s="65"/>
      <c r="Y149" s="65"/>
      <c r="Z149" s="79" t="s">
        <v>5330</v>
      </c>
      <c r="AA149" s="101" t="s">
        <v>5521</v>
      </c>
      <c r="AB149" s="65" t="s">
        <v>4917</v>
      </c>
      <c r="AC149" s="65" t="s">
        <v>4918</v>
      </c>
      <c r="AD149" s="65" t="s">
        <v>4903</v>
      </c>
      <c r="AE149" s="65">
        <v>5794544</v>
      </c>
      <c r="AF149" s="79" t="s">
        <v>5441</v>
      </c>
      <c r="AG149" s="79">
        <v>120141671</v>
      </c>
      <c r="AH149" s="79">
        <v>35219096</v>
      </c>
      <c r="AI149" s="79" t="s">
        <v>5339</v>
      </c>
      <c r="AJ149" s="65"/>
      <c r="AK149" s="65"/>
      <c r="AL149" s="65"/>
      <c r="AM149" s="65"/>
      <c r="AN149" s="65"/>
      <c r="AO149" s="65"/>
      <c r="AP149" s="65"/>
      <c r="AQ149" s="65"/>
      <c r="AR149" s="99"/>
      <c r="AS149" s="65"/>
      <c r="AT149" s="65"/>
      <c r="AU149" s="65"/>
      <c r="AV149" s="65"/>
      <c r="AW149" s="23">
        <f>AU149+AV149</f>
        <v>0</v>
      </c>
      <c r="AX149" s="41">
        <f>AW149/5280</f>
        <v>0</v>
      </c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</row>
    <row r="150" spans="1:67" x14ac:dyDescent="0.25">
      <c r="A150" s="79">
        <v>35219098</v>
      </c>
      <c r="B150" s="133" t="s">
        <v>5464</v>
      </c>
      <c r="C150" s="79">
        <v>3</v>
      </c>
      <c r="D150" s="79" t="s">
        <v>4871</v>
      </c>
      <c r="E150" s="65">
        <v>2021204</v>
      </c>
      <c r="F150" s="79">
        <v>1.07</v>
      </c>
      <c r="G150" s="37">
        <f>F150-K150</f>
        <v>1.07</v>
      </c>
      <c r="H150" s="79">
        <v>2021</v>
      </c>
      <c r="I150" s="65"/>
      <c r="J150" s="65"/>
      <c r="K150" s="37">
        <f>SUM(I150:J150)</f>
        <v>0</v>
      </c>
      <c r="L150" s="21">
        <v>0</v>
      </c>
      <c r="M150" s="79" t="s">
        <v>4880</v>
      </c>
      <c r="N150" s="65">
        <v>43141101</v>
      </c>
      <c r="O150" s="65" t="s">
        <v>2411</v>
      </c>
      <c r="P150" s="79" t="s">
        <v>2410</v>
      </c>
      <c r="Q150" s="38">
        <f>IFERROR(VLOOKUP(P150,[47]conductor_pz_summary_hftd_23_re!$B$2:$Q$3636,8,FALSE),0)</f>
        <v>12</v>
      </c>
      <c r="R150" s="38">
        <f>IFERROR(VLOOKUP(P150,[48]conductor_pz_summary_hftd_23_re!$B$2:$H$3636,7,0),0)/1609</f>
        <v>1.0658524089295898</v>
      </c>
      <c r="S150" s="23">
        <f>IFERROR(VLOOKUP(P150,[47]conductor_pz_summary_hftd_23_re!$B$2:$Q$3636,14,FALSE),0)</f>
        <v>23</v>
      </c>
      <c r="T150" s="23">
        <f>IFERROR(U150*Q150,0)</f>
        <v>6.9710318565939478</v>
      </c>
      <c r="U150" s="23">
        <f>IFERROR(VLOOKUP(P150,[47]conductor_pz_summary_hftd_23_re!$B$2:$Q$3636,13,FALSE),0)</f>
        <v>0.58091932138282898</v>
      </c>
      <c r="V150" s="79">
        <f>IFERROR(VLOOKUP(P150,conductor_pz_summary_hftd_23_re!$B$2:$N$3636,13,FALSE),0)</f>
        <v>79</v>
      </c>
      <c r="W150" s="65" t="e">
        <f>(AJ150*0.67+AK150*0.99+AL150+AM150*0.99)/(SUM(AJ150:AM150))*T150*(F150/R150)</f>
        <v>#DIV/0!</v>
      </c>
      <c r="X150" s="65"/>
      <c r="Y150" s="65"/>
      <c r="Z150" s="79" t="s">
        <v>5330</v>
      </c>
      <c r="AA150" s="101" t="s">
        <v>4874</v>
      </c>
      <c r="AB150" s="65" t="s">
        <v>4875</v>
      </c>
      <c r="AC150" s="65" t="s">
        <v>4876</v>
      </c>
      <c r="AD150" s="65" t="s">
        <v>4877</v>
      </c>
      <c r="AE150" s="65">
        <v>5794547</v>
      </c>
      <c r="AF150" s="79" t="s">
        <v>5361</v>
      </c>
      <c r="AG150" s="79">
        <v>120141805</v>
      </c>
      <c r="AH150" s="79">
        <v>35219098</v>
      </c>
      <c r="AI150" s="79" t="s">
        <v>5341</v>
      </c>
      <c r="AJ150" s="65"/>
      <c r="AK150" s="65"/>
      <c r="AL150" s="65"/>
      <c r="AM150" s="65"/>
      <c r="AN150" s="135">
        <v>44196</v>
      </c>
      <c r="AO150" s="65"/>
      <c r="AP150" s="65"/>
      <c r="AQ150" s="65"/>
      <c r="AR150" s="99"/>
      <c r="AS150" s="65"/>
      <c r="AT150" s="65"/>
      <c r="AU150" s="65"/>
      <c r="AV150" s="65"/>
      <c r="AW150" s="23">
        <f>AU150+AV150</f>
        <v>0</v>
      </c>
      <c r="AX150" s="41">
        <f>AW150/5280</f>
        <v>0</v>
      </c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</row>
    <row r="151" spans="1:67" x14ac:dyDescent="0.25">
      <c r="A151" s="79">
        <v>35219099</v>
      </c>
      <c r="B151" s="106" t="s">
        <v>5464</v>
      </c>
      <c r="C151" s="79">
        <v>2</v>
      </c>
      <c r="D151" s="79" t="s">
        <v>4871</v>
      </c>
      <c r="E151" s="65">
        <v>2021205</v>
      </c>
      <c r="F151" s="79">
        <v>14.22</v>
      </c>
      <c r="G151" s="37">
        <f>F151-K151</f>
        <v>14.22</v>
      </c>
      <c r="H151" s="79">
        <v>2021</v>
      </c>
      <c r="I151" s="65"/>
      <c r="J151" s="65"/>
      <c r="K151" s="37">
        <f>SUM(I151:J151)</f>
        <v>0</v>
      </c>
      <c r="L151" s="21">
        <v>0</v>
      </c>
      <c r="M151" s="79" t="s">
        <v>4880</v>
      </c>
      <c r="N151" s="65">
        <v>43361102</v>
      </c>
      <c r="O151" s="65" t="s">
        <v>1885</v>
      </c>
      <c r="P151" s="79" t="s">
        <v>1887</v>
      </c>
      <c r="Q151" s="38">
        <f>IFERROR(VLOOKUP(P151,[47]conductor_pz_summary_hftd_23_re!$B$2:$Q$3636,8,FALSE),0)</f>
        <v>51</v>
      </c>
      <c r="R151" s="38">
        <f>IFERROR(VLOOKUP(P151,[48]conductor_pz_summary_hftd_23_re!$B$2:$H$3636,7,0),0)/1609</f>
        <v>14.222439399760409</v>
      </c>
      <c r="S151" s="23">
        <f>IFERROR(VLOOKUP(P151,[47]conductor_pz_summary_hftd_23_re!$B$2:$Q$3636,14,FALSE),0)</f>
        <v>27</v>
      </c>
      <c r="T151" s="23">
        <f>IFERROR(U151*Q151,0)</f>
        <v>27.983766868840789</v>
      </c>
      <c r="U151" s="23">
        <f>IFERROR(VLOOKUP(P151,[47]conductor_pz_summary_hftd_23_re!$B$2:$Q$3636,13,FALSE),0)</f>
        <v>0.54870131115374099</v>
      </c>
      <c r="V151" s="79">
        <f>IFERROR(VLOOKUP(P151,conductor_pz_summary_hftd_23_re!$B$2:$N$3636,13,FALSE),0)</f>
        <v>33</v>
      </c>
      <c r="W151" s="65" t="e">
        <f>(AJ151*0.67+AK151*0.99+AL151+AM151*0.99)/(SUM(AJ151:AM151))*T151*(F151/R151)</f>
        <v>#DIV/0!</v>
      </c>
      <c r="X151" s="65"/>
      <c r="Y151" s="65"/>
      <c r="Z151" s="79" t="s">
        <v>5330</v>
      </c>
      <c r="AA151" s="101" t="s">
        <v>5522</v>
      </c>
      <c r="AB151" s="65" t="s">
        <v>4875</v>
      </c>
      <c r="AC151" s="65" t="s">
        <v>4876</v>
      </c>
      <c r="AD151" s="65" t="s">
        <v>4877</v>
      </c>
      <c r="AE151" s="65">
        <v>5794549</v>
      </c>
      <c r="AF151" s="79" t="s">
        <v>5443</v>
      </c>
      <c r="AG151" s="79">
        <v>120141849</v>
      </c>
      <c r="AH151" s="79">
        <v>35219099</v>
      </c>
      <c r="AI151" s="79" t="s">
        <v>5342</v>
      </c>
      <c r="AJ151" s="65"/>
      <c r="AK151" s="65"/>
      <c r="AL151" s="65"/>
      <c r="AM151" s="65"/>
      <c r="AN151" s="65"/>
      <c r="AO151" s="65"/>
      <c r="AP151" s="65"/>
      <c r="AQ151" s="65"/>
      <c r="AR151" s="99"/>
      <c r="AS151" s="65"/>
      <c r="AT151" s="65"/>
      <c r="AU151" s="65"/>
      <c r="AV151" s="65"/>
      <c r="AW151" s="23">
        <f>AU151+AV151</f>
        <v>0</v>
      </c>
      <c r="AX151" s="41">
        <f>AW151/5280</f>
        <v>0</v>
      </c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</row>
    <row r="152" spans="1:67" x14ac:dyDescent="0.25">
      <c r="A152" s="79">
        <v>35219272</v>
      </c>
      <c r="B152" s="133" t="s">
        <v>5464</v>
      </c>
      <c r="C152" s="79">
        <v>3</v>
      </c>
      <c r="D152" s="79" t="s">
        <v>4871</v>
      </c>
      <c r="E152" s="65">
        <v>2021212</v>
      </c>
      <c r="F152" s="79">
        <v>0.85</v>
      </c>
      <c r="G152" s="37">
        <f>F152-K152</f>
        <v>0.85</v>
      </c>
      <c r="H152" s="79">
        <v>2021</v>
      </c>
      <c r="I152" s="65"/>
      <c r="J152" s="65"/>
      <c r="K152" s="37">
        <f>SUM(I152:J152)</f>
        <v>0</v>
      </c>
      <c r="L152" s="21">
        <v>0</v>
      </c>
      <c r="M152" s="79" t="s">
        <v>4880</v>
      </c>
      <c r="N152" s="65">
        <v>43141101</v>
      </c>
      <c r="O152" s="65" t="s">
        <v>2411</v>
      </c>
      <c r="P152" s="79" t="s">
        <v>2416</v>
      </c>
      <c r="Q152" s="38">
        <f>IFERROR(VLOOKUP(P152,[47]conductor_pz_summary_hftd_23_re!$B$2:$Q$3636,8,FALSE),0)</f>
        <v>14</v>
      </c>
      <c r="R152" s="38">
        <f>IFERROR(VLOOKUP(P152,[48]conductor_pz_summary_hftd_23_re!$B$2:$H$3636,7,0),0)/1609</f>
        <v>0.85339726114313852</v>
      </c>
      <c r="S152" s="23">
        <f>IFERROR(VLOOKUP(P152,[47]conductor_pz_summary_hftd_23_re!$B$2:$Q$3636,14,FALSE),0)</f>
        <v>38</v>
      </c>
      <c r="T152" s="23">
        <f>IFERROR(U152*Q152,0)</f>
        <v>6.5476193415170023</v>
      </c>
      <c r="U152" s="23">
        <f>IFERROR(VLOOKUP(P152,[47]conductor_pz_summary_hftd_23_re!$B$2:$Q$3636,13,FALSE),0)</f>
        <v>0.46768709582264301</v>
      </c>
      <c r="V152" s="79">
        <f>IFERROR(VLOOKUP(P152,conductor_pz_summary_hftd_23_re!$B$2:$N$3636,13,FALSE),0)</f>
        <v>46</v>
      </c>
      <c r="W152" s="65" t="e">
        <f>(AJ152*0.67+AK152*0.99+AL152+AM152*0.99)/(SUM(AJ152:AM152))*T152*(F152/R152)</f>
        <v>#DIV/0!</v>
      </c>
      <c r="X152" s="65"/>
      <c r="Y152" s="65"/>
      <c r="Z152" s="79" t="s">
        <v>5330</v>
      </c>
      <c r="AA152" s="65" t="s">
        <v>4874</v>
      </c>
      <c r="AB152" s="65" t="s">
        <v>4875</v>
      </c>
      <c r="AC152" s="65" t="s">
        <v>4876</v>
      </c>
      <c r="AD152" s="65" t="s">
        <v>4877</v>
      </c>
      <c r="AE152" s="65">
        <v>5794547</v>
      </c>
      <c r="AF152" s="79" t="s">
        <v>5364</v>
      </c>
      <c r="AG152" s="79">
        <v>120142171</v>
      </c>
      <c r="AH152" s="79">
        <v>35219272</v>
      </c>
      <c r="AI152" s="79" t="s">
        <v>5350</v>
      </c>
      <c r="AJ152" s="65"/>
      <c r="AK152" s="65"/>
      <c r="AL152" s="65"/>
      <c r="AM152" s="65"/>
      <c r="AN152" s="135">
        <v>44196</v>
      </c>
      <c r="AO152" s="65"/>
      <c r="AP152" s="65"/>
      <c r="AQ152" s="65"/>
      <c r="AR152" s="99"/>
      <c r="AS152" s="65"/>
      <c r="AT152" s="65"/>
      <c r="AU152" s="65"/>
      <c r="AV152" s="65"/>
      <c r="AW152" s="23">
        <f>AU152+AV152</f>
        <v>0</v>
      </c>
      <c r="AX152" s="41">
        <f>AW152/5280</f>
        <v>0</v>
      </c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</row>
    <row r="153" spans="1:67" x14ac:dyDescent="0.25">
      <c r="A153" s="79">
        <v>35219280</v>
      </c>
      <c r="B153" s="133" t="s">
        <v>5464</v>
      </c>
      <c r="C153" s="79">
        <v>2</v>
      </c>
      <c r="D153" s="79" t="s">
        <v>4871</v>
      </c>
      <c r="E153" s="65">
        <v>2021216</v>
      </c>
      <c r="F153" s="79">
        <v>1.65</v>
      </c>
      <c r="G153" s="37">
        <f>F153-K153</f>
        <v>1.65</v>
      </c>
      <c r="H153" s="79">
        <v>2021</v>
      </c>
      <c r="I153" s="65"/>
      <c r="J153" s="65"/>
      <c r="K153" s="37">
        <f>SUM(I153:J153)</f>
        <v>0</v>
      </c>
      <c r="L153" s="21">
        <v>0</v>
      </c>
      <c r="M153" s="79" t="s">
        <v>4880</v>
      </c>
      <c r="N153" s="65">
        <v>42281105</v>
      </c>
      <c r="O153" s="65" t="s">
        <v>3420</v>
      </c>
      <c r="P153" s="79" t="s">
        <v>3422</v>
      </c>
      <c r="Q153" s="38">
        <f>IFERROR(VLOOKUP(P153,[47]conductor_pz_summary_hftd_23_re!$B$2:$Q$3636,8,FALSE),0)</f>
        <v>101</v>
      </c>
      <c r="R153" s="38">
        <f>IFERROR(VLOOKUP(P153,[48]conductor_pz_summary_hftd_23_re!$B$2:$H$3636,7,0),0)/1609</f>
        <v>1.6450859394185147</v>
      </c>
      <c r="S153" s="23">
        <f>IFERROR(VLOOKUP(P153,[47]conductor_pz_summary_hftd_23_re!$B$2:$Q$3636,14,FALSE),0)</f>
        <v>43</v>
      </c>
      <c r="T153" s="23">
        <f>IFERROR(U153*Q153,0)</f>
        <v>44.704557679382383</v>
      </c>
      <c r="U153" s="23">
        <f>IFERROR(VLOOKUP(P153,[47]conductor_pz_summary_hftd_23_re!$B$2:$Q$3636,13,FALSE),0)</f>
        <v>0.44261938296418202</v>
      </c>
      <c r="V153" s="79">
        <f>IFERROR(VLOOKUP(P153,conductor_pz_summary_hftd_23_re!$B$2:$N$3636,13,FALSE),0)</f>
        <v>427</v>
      </c>
      <c r="W153" s="65" t="e">
        <f>(AJ153*0.67+AK153*0.99+AL153+AM153*0.99)/(SUM(AJ153:AM153))*T153*(F153/R153)</f>
        <v>#DIV/0!</v>
      </c>
      <c r="X153" s="65"/>
      <c r="Y153" s="65"/>
      <c r="Z153" s="79" t="s">
        <v>5330</v>
      </c>
      <c r="AA153" s="65" t="s">
        <v>5526</v>
      </c>
      <c r="AB153" s="65" t="s">
        <v>5527</v>
      </c>
      <c r="AC153" s="65" t="s">
        <v>4876</v>
      </c>
      <c r="AD153" s="65" t="s">
        <v>4877</v>
      </c>
      <c r="AE153" s="65">
        <v>5794548</v>
      </c>
      <c r="AF153" s="79" t="s">
        <v>5454</v>
      </c>
      <c r="AG153" s="79">
        <v>120142216</v>
      </c>
      <c r="AH153" s="79">
        <v>35219280</v>
      </c>
      <c r="AI153" s="79" t="s">
        <v>5355</v>
      </c>
      <c r="AJ153" s="65"/>
      <c r="AK153" s="65"/>
      <c r="AL153" s="65"/>
      <c r="AM153" s="65"/>
      <c r="AN153" s="135">
        <v>44196</v>
      </c>
      <c r="AO153" s="65"/>
      <c r="AP153" s="65"/>
      <c r="AQ153" s="65"/>
      <c r="AR153" s="99"/>
      <c r="AS153" s="65"/>
      <c r="AT153" s="65"/>
      <c r="AU153" s="65"/>
      <c r="AV153" s="65"/>
      <c r="AW153" s="23">
        <f>AU153+AV153</f>
        <v>0</v>
      </c>
      <c r="AX153" s="41">
        <f>AW153/5280</f>
        <v>0</v>
      </c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</row>
    <row r="154" spans="1:67" x14ac:dyDescent="0.25">
      <c r="A154" s="79">
        <v>35219092</v>
      </c>
      <c r="B154" s="106" t="s">
        <v>5464</v>
      </c>
      <c r="C154" s="79">
        <v>2</v>
      </c>
      <c r="D154" s="79" t="s">
        <v>4871</v>
      </c>
      <c r="E154" s="65">
        <v>2021200</v>
      </c>
      <c r="F154" s="79">
        <v>5.35</v>
      </c>
      <c r="G154" s="37">
        <f>F154-K154</f>
        <v>5.35</v>
      </c>
      <c r="H154" s="79">
        <v>2021</v>
      </c>
      <c r="I154" s="65"/>
      <c r="J154" s="65"/>
      <c r="K154" s="37">
        <f>SUM(I154:J154)</f>
        <v>0</v>
      </c>
      <c r="L154" s="21">
        <v>299.89999999999998</v>
      </c>
      <c r="M154" s="79" t="s">
        <v>4880</v>
      </c>
      <c r="N154" s="65">
        <v>253642104</v>
      </c>
      <c r="O154" s="65" t="s">
        <v>3414</v>
      </c>
      <c r="P154" s="79" t="s">
        <v>3415</v>
      </c>
      <c r="Q154" s="38">
        <f>IFERROR(VLOOKUP(P154,[47]conductor_pz_summary_hftd_23_re!$B$2:$Q$3636,8,FALSE),0)</f>
        <v>38</v>
      </c>
      <c r="R154" s="38">
        <f>IFERROR(VLOOKUP(P154,[48]conductor_pz_summary_hftd_23_re!$B$2:$H$3636,7,0),0)/1609</f>
        <v>5.3534418701324551</v>
      </c>
      <c r="S154" s="23">
        <f>IFERROR(VLOOKUP(P154,[47]conductor_pz_summary_hftd_23_re!$B$2:$Q$3636,14,FALSE),0)</f>
        <v>15</v>
      </c>
      <c r="T154" s="23">
        <f>IFERROR(U154*Q154,0)</f>
        <v>26.760697879293375</v>
      </c>
      <c r="U154" s="23">
        <f>IFERROR(VLOOKUP(P154,[47]conductor_pz_summary_hftd_23_re!$B$2:$Q$3636,13,FALSE),0)</f>
        <v>0.70422889156035196</v>
      </c>
      <c r="V154" s="79">
        <f>IFERROR(VLOOKUP(P154,conductor_pz_summary_hftd_23_re!$B$2:$N$3636,13,FALSE),0)</f>
        <v>51</v>
      </c>
      <c r="W154" s="65" t="e">
        <f>(AJ154*0.67+AK154*0.99+AL154+AM154*0.99)/(SUM(AJ154:AM154))*T154*(F154/R154)</f>
        <v>#DIV/0!</v>
      </c>
      <c r="X154" s="65"/>
      <c r="Y154" s="65"/>
      <c r="Z154" s="79" t="s">
        <v>5330</v>
      </c>
      <c r="AA154" s="101" t="s">
        <v>5519</v>
      </c>
      <c r="AB154" s="65" t="s">
        <v>5520</v>
      </c>
      <c r="AC154" s="65" t="s">
        <v>5520</v>
      </c>
      <c r="AD154" s="65" t="s">
        <v>4963</v>
      </c>
      <c r="AE154" s="65">
        <v>5794539</v>
      </c>
      <c r="AF154" s="79" t="s">
        <v>5438</v>
      </c>
      <c r="AG154" s="79">
        <v>120141620</v>
      </c>
      <c r="AH154" s="79">
        <v>35219092</v>
      </c>
      <c r="AI154" s="79" t="s">
        <v>5336</v>
      </c>
      <c r="AJ154" s="65"/>
      <c r="AK154" s="65"/>
      <c r="AL154" s="79"/>
      <c r="AM154" s="65"/>
      <c r="AN154" s="65"/>
      <c r="AO154" s="65"/>
      <c r="AP154" s="65"/>
      <c r="AQ154" s="65"/>
      <c r="AR154" s="99"/>
      <c r="AS154" s="65"/>
      <c r="AT154" s="65"/>
      <c r="AU154" s="65"/>
      <c r="AV154" s="65"/>
      <c r="AW154" s="23">
        <f>AU154+AV154</f>
        <v>0</v>
      </c>
      <c r="AX154" s="41">
        <f>AW154/5280</f>
        <v>0</v>
      </c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</row>
    <row r="155" spans="1:67" x14ac:dyDescent="0.25">
      <c r="A155" s="79">
        <v>35219264</v>
      </c>
      <c r="B155" s="106" t="s">
        <v>5464</v>
      </c>
      <c r="C155" s="79">
        <v>2</v>
      </c>
      <c r="D155" s="79" t="s">
        <v>4871</v>
      </c>
      <c r="E155" s="65">
        <v>2021207</v>
      </c>
      <c r="F155" s="79">
        <v>2.33</v>
      </c>
      <c r="G155" s="37">
        <f>F155-K155</f>
        <v>2.33</v>
      </c>
      <c r="H155" s="79">
        <v>2021</v>
      </c>
      <c r="I155" s="65"/>
      <c r="J155" s="65"/>
      <c r="K155" s="37">
        <f>SUM(I155:J155)</f>
        <v>0</v>
      </c>
      <c r="L155" s="21">
        <v>0</v>
      </c>
      <c r="M155" s="79" t="s">
        <v>4880</v>
      </c>
      <c r="N155" s="65">
        <v>253642103</v>
      </c>
      <c r="O155" s="65" t="s">
        <v>3411</v>
      </c>
      <c r="P155" s="79" t="s">
        <v>3412</v>
      </c>
      <c r="Q155" s="38">
        <f>IFERROR(VLOOKUP(P155,[47]conductor_pz_summary_hftd_23_re!$B$2:$Q$3636,8,FALSE),0)</f>
        <v>10</v>
      </c>
      <c r="R155" s="38">
        <f>IFERROR(VLOOKUP(P155,[48]conductor_pz_summary_hftd_23_re!$B$2:$H$3636,7,0),0)/1609</f>
        <v>2.3287273015274268</v>
      </c>
      <c r="S155" s="23">
        <f>IFERROR(VLOOKUP(P155,[47]conductor_pz_summary_hftd_23_re!$B$2:$Q$3636,14,FALSE),0)</f>
        <v>30</v>
      </c>
      <c r="T155" s="23">
        <f>IFERROR(U155*Q155,0)</f>
        <v>5.1619382712091895</v>
      </c>
      <c r="U155" s="23">
        <f>IFERROR(VLOOKUP(P155,[47]conductor_pz_summary_hftd_23_re!$B$2:$Q$3636,13,FALSE),0)</f>
        <v>0.51619382712091899</v>
      </c>
      <c r="V155" s="79">
        <f>IFERROR(VLOOKUP(P155,conductor_pz_summary_hftd_23_re!$B$2:$N$3636,13,FALSE),0)</f>
        <v>2</v>
      </c>
      <c r="W155" s="65" t="e">
        <f>(AJ155*0.67+AK155*0.99+AL155+AM155*0.99)/(SUM(AJ155:AM155))*T155*(F155/R155)</f>
        <v>#DIV/0!</v>
      </c>
      <c r="X155" s="65"/>
      <c r="Y155" s="65"/>
      <c r="Z155" s="79" t="s">
        <v>5330</v>
      </c>
      <c r="AA155" s="101" t="s">
        <v>5519</v>
      </c>
      <c r="AB155" s="65" t="s">
        <v>5520</v>
      </c>
      <c r="AC155" s="65" t="s">
        <v>5520</v>
      </c>
      <c r="AD155" s="65" t="s">
        <v>4963</v>
      </c>
      <c r="AE155" s="65">
        <v>5794550</v>
      </c>
      <c r="AF155" s="79" t="s">
        <v>5445</v>
      </c>
      <c r="AG155" s="79">
        <v>120141886</v>
      </c>
      <c r="AH155" s="79">
        <v>35219264</v>
      </c>
      <c r="AI155" s="79" t="s">
        <v>5344</v>
      </c>
      <c r="AJ155" s="65"/>
      <c r="AK155" s="65"/>
      <c r="AL155" s="65"/>
      <c r="AM155" s="65"/>
      <c r="AN155" s="65"/>
      <c r="AO155" s="65"/>
      <c r="AP155" s="65"/>
      <c r="AQ155" s="65"/>
      <c r="AR155" s="99"/>
      <c r="AS155" s="65"/>
      <c r="AT155" s="65"/>
      <c r="AU155" s="65"/>
      <c r="AV155" s="65"/>
      <c r="AW155" s="23">
        <f>AU155+AV155</f>
        <v>0</v>
      </c>
      <c r="AX155" s="41">
        <f>AW155/5280</f>
        <v>0</v>
      </c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</row>
    <row r="156" spans="1:67" x14ac:dyDescent="0.25">
      <c r="A156" s="79">
        <v>35219282</v>
      </c>
      <c r="B156" s="133" t="s">
        <v>5464</v>
      </c>
      <c r="C156" s="79">
        <v>2</v>
      </c>
      <c r="D156" s="79" t="s">
        <v>4871</v>
      </c>
      <c r="E156" s="65">
        <v>2021218</v>
      </c>
      <c r="F156" s="79">
        <v>1.1499999999999999</v>
      </c>
      <c r="G156" s="37">
        <f>F156-K156</f>
        <v>1.1499999999999999</v>
      </c>
      <c r="H156" s="79">
        <v>2021</v>
      </c>
      <c r="I156" s="65"/>
      <c r="J156" s="65"/>
      <c r="K156" s="37">
        <f>SUM(I156:J156)</f>
        <v>0</v>
      </c>
      <c r="L156" s="21">
        <v>0</v>
      </c>
      <c r="M156" s="79" t="s">
        <v>4880</v>
      </c>
      <c r="N156" s="65">
        <v>14052101</v>
      </c>
      <c r="O156" s="65" t="s">
        <v>2741</v>
      </c>
      <c r="P156" s="79" t="s">
        <v>2740</v>
      </c>
      <c r="Q156" s="38">
        <f>IFERROR(VLOOKUP(P156,[47]conductor_pz_summary_hftd_23_re!$B$2:$Q$3636,8,FALSE),0)</f>
        <v>23</v>
      </c>
      <c r="R156" s="38">
        <f>IFERROR(VLOOKUP(P156,[48]conductor_pz_summary_hftd_23_re!$B$2:$H$3636,7,0),0)/1609</f>
        <v>1.7629499169490179</v>
      </c>
      <c r="S156" s="23">
        <f>IFERROR(VLOOKUP(P156,[47]conductor_pz_summary_hftd_23_re!$B$2:$Q$3636,14,FALSE),0)</f>
        <v>47</v>
      </c>
      <c r="T156" s="23">
        <f>IFERROR(U156*Q156,0)</f>
        <v>9.8575817238447403</v>
      </c>
      <c r="U156" s="23">
        <f>IFERROR(VLOOKUP(P156,[47]conductor_pz_summary_hftd_23_re!$B$2:$Q$3636,13,FALSE),0)</f>
        <v>0.42859050973238</v>
      </c>
      <c r="V156" s="79">
        <f>IFERROR(VLOOKUP(P156,conductor_pz_summary_hftd_23_re!$B$2:$N$3636,13,FALSE),0)</f>
        <v>388</v>
      </c>
      <c r="W156" s="65" t="e">
        <f>(AJ156*0.67+AK156*0.99+AL156+AM156*0.99)/(SUM(AJ156:AM156))*T156*(F156/R156)</f>
        <v>#DIV/0!</v>
      </c>
      <c r="X156" s="65"/>
      <c r="Y156" s="65"/>
      <c r="Z156" s="79" t="s">
        <v>5330</v>
      </c>
      <c r="AA156" s="65" t="s">
        <v>5529</v>
      </c>
      <c r="AB156" s="65" t="s">
        <v>5487</v>
      </c>
      <c r="AC156" s="65" t="s">
        <v>5530</v>
      </c>
      <c r="AD156" s="65" t="s">
        <v>5039</v>
      </c>
      <c r="AE156" s="65">
        <v>5543349</v>
      </c>
      <c r="AF156" s="79" t="s">
        <v>5456</v>
      </c>
      <c r="AG156" s="79">
        <v>120142312</v>
      </c>
      <c r="AH156" s="79">
        <v>35219282</v>
      </c>
      <c r="AI156" s="79" t="s">
        <v>5357</v>
      </c>
      <c r="AJ156" s="65"/>
      <c r="AK156" s="65"/>
      <c r="AL156" s="65"/>
      <c r="AM156" s="65"/>
      <c r="AN156" s="135">
        <v>44196</v>
      </c>
      <c r="AO156" s="65"/>
      <c r="AP156" s="65"/>
      <c r="AQ156" s="65"/>
      <c r="AR156" s="99"/>
      <c r="AS156" s="65"/>
      <c r="AT156" s="65"/>
      <c r="AU156" s="65"/>
      <c r="AV156" s="65"/>
      <c r="AW156" s="23">
        <f>AU156+AV156</f>
        <v>0</v>
      </c>
      <c r="AX156" s="41">
        <f>AW156/5280</f>
        <v>0</v>
      </c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</row>
    <row r="157" spans="1:67" x14ac:dyDescent="0.25">
      <c r="A157" s="79">
        <v>35219283</v>
      </c>
      <c r="B157" s="133" t="s">
        <v>5464</v>
      </c>
      <c r="C157" s="79">
        <v>2</v>
      </c>
      <c r="D157" s="79" t="s">
        <v>4871</v>
      </c>
      <c r="E157" s="65">
        <v>2021219</v>
      </c>
      <c r="F157" s="79">
        <v>0.61</v>
      </c>
      <c r="G157" s="37">
        <f>F157-K157</f>
        <v>0.61</v>
      </c>
      <c r="H157" s="79">
        <v>2021</v>
      </c>
      <c r="I157" s="65"/>
      <c r="J157" s="65"/>
      <c r="K157" s="37">
        <f>SUM(I157:J157)</f>
        <v>0</v>
      </c>
      <c r="L157" s="21">
        <v>0</v>
      </c>
      <c r="M157" s="79" t="s">
        <v>4880</v>
      </c>
      <c r="N157" s="65">
        <v>14052101</v>
      </c>
      <c r="O157" s="65" t="s">
        <v>2741</v>
      </c>
      <c r="P157" s="79" t="s">
        <v>2740</v>
      </c>
      <c r="Q157" s="38">
        <f>IFERROR(VLOOKUP(P157,[47]conductor_pz_summary_hftd_23_re!$B$2:$Q$3636,8,FALSE),0)</f>
        <v>23</v>
      </c>
      <c r="R157" s="38">
        <f>IFERROR(VLOOKUP(P157,[48]conductor_pz_summary_hftd_23_re!$B$2:$H$3636,7,0),0)/1609</f>
        <v>1.7629499169490179</v>
      </c>
      <c r="S157" s="23">
        <f>IFERROR(VLOOKUP(P157,[47]conductor_pz_summary_hftd_23_re!$B$2:$Q$3636,14,FALSE),0)</f>
        <v>47</v>
      </c>
      <c r="T157" s="23">
        <f>IFERROR(U157*Q157,0)</f>
        <v>9.8575817238447403</v>
      </c>
      <c r="U157" s="23">
        <f>IFERROR(VLOOKUP(P157,[47]conductor_pz_summary_hftd_23_re!$B$2:$Q$3636,13,FALSE),0)</f>
        <v>0.42859050973238</v>
      </c>
      <c r="V157" s="79">
        <f>IFERROR(VLOOKUP(P157,conductor_pz_summary_hftd_23_re!$B$2:$N$3636,13,FALSE),0)</f>
        <v>388</v>
      </c>
      <c r="W157" s="65" t="e">
        <f>(AJ157*0.67+AK157*0.99+AL157+AM157*0.99)/(SUM(AJ157:AM157))*T157*(F157/R157)</f>
        <v>#DIV/0!</v>
      </c>
      <c r="X157" s="65"/>
      <c r="Y157" s="65"/>
      <c r="Z157" s="79" t="s">
        <v>5330</v>
      </c>
      <c r="AA157" s="65" t="s">
        <v>5531</v>
      </c>
      <c r="AB157" s="65" t="s">
        <v>4917</v>
      </c>
      <c r="AC157" s="65" t="s">
        <v>5530</v>
      </c>
      <c r="AD157" s="65" t="s">
        <v>5039</v>
      </c>
      <c r="AE157" s="65">
        <v>5543351</v>
      </c>
      <c r="AF157" s="79" t="s">
        <v>5457</v>
      </c>
      <c r="AG157" s="79">
        <v>120142316</v>
      </c>
      <c r="AH157" s="79">
        <v>35219283</v>
      </c>
      <c r="AI157" s="79" t="s">
        <v>5357</v>
      </c>
      <c r="AJ157" s="65"/>
      <c r="AK157" s="65"/>
      <c r="AL157" s="65"/>
      <c r="AM157" s="65"/>
      <c r="AN157" s="135">
        <v>44196</v>
      </c>
      <c r="AO157" s="65"/>
      <c r="AP157" s="65"/>
      <c r="AQ157" s="65"/>
      <c r="AR157" s="99"/>
      <c r="AS157" s="65"/>
      <c r="AT157" s="65"/>
      <c r="AU157" s="65"/>
      <c r="AV157" s="65"/>
      <c r="AW157" s="23">
        <f>AU157+AV157</f>
        <v>0</v>
      </c>
      <c r="AX157" s="41">
        <f>AW157/5280</f>
        <v>0</v>
      </c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</row>
    <row r="158" spans="1:67" x14ac:dyDescent="0.25">
      <c r="A158" s="79">
        <v>35219260</v>
      </c>
      <c r="B158" s="106" t="s">
        <v>5464</v>
      </c>
      <c r="C158" s="79">
        <v>3</v>
      </c>
      <c r="D158" s="79" t="s">
        <v>4871</v>
      </c>
      <c r="E158" s="65">
        <v>2021206</v>
      </c>
      <c r="F158" s="79">
        <v>1.34</v>
      </c>
      <c r="G158" s="37">
        <f>F158-K158</f>
        <v>1.34</v>
      </c>
      <c r="H158" s="79">
        <v>2021</v>
      </c>
      <c r="I158" s="65"/>
      <c r="J158" s="65"/>
      <c r="K158" s="37">
        <f>SUM(I158:J158)</f>
        <v>0</v>
      </c>
      <c r="L158" s="21">
        <v>0</v>
      </c>
      <c r="M158" s="79" t="s">
        <v>4880</v>
      </c>
      <c r="N158" s="65">
        <v>102911109</v>
      </c>
      <c r="O158" s="65" t="s">
        <v>4784</v>
      </c>
      <c r="P158" s="79" t="s">
        <v>4787</v>
      </c>
      <c r="Q158" s="38">
        <f>IFERROR(VLOOKUP(P158,[47]conductor_pz_summary_hftd_23_re!$B$2:$Q$3636,8,FALSE),0)</f>
        <v>15</v>
      </c>
      <c r="R158" s="38">
        <f>IFERROR(VLOOKUP(P158,[48]conductor_pz_summary_hftd_23_re!$B$2:$H$3636,7,0),0)/1609</f>
        <v>1.3417394071275264</v>
      </c>
      <c r="S158" s="23">
        <f>IFERROR(VLOOKUP(P158,[47]conductor_pz_summary_hftd_23_re!$B$2:$Q$3636,14,FALSE),0)</f>
        <v>29</v>
      </c>
      <c r="T158" s="23">
        <f>IFERROR(U158*Q158,0)</f>
        <v>7.9480957197220192</v>
      </c>
      <c r="U158" s="23">
        <f>IFERROR(VLOOKUP(P158,[47]conductor_pz_summary_hftd_23_re!$B$2:$Q$3636,13,FALSE),0)</f>
        <v>0.52987304798146795</v>
      </c>
      <c r="V158" s="79">
        <f>IFERROR(VLOOKUP(P158,conductor_pz_summary_hftd_23_re!$B$2:$N$3636,13,FALSE),0)</f>
        <v>260</v>
      </c>
      <c r="W158" s="65" t="e">
        <f>(AJ158*0.67+AK158*0.99+AL158+AM158*0.99)/(SUM(AJ158:AM158))*T158*(F158/R158)</f>
        <v>#DIV/0!</v>
      </c>
      <c r="X158" s="65"/>
      <c r="Y158" s="65"/>
      <c r="Z158" s="79" t="s">
        <v>5330</v>
      </c>
      <c r="AA158" s="101" t="s">
        <v>5495</v>
      </c>
      <c r="AB158" s="65" t="s">
        <v>5247</v>
      </c>
      <c r="AC158" s="65" t="s">
        <v>5242</v>
      </c>
      <c r="AD158" s="65" t="s">
        <v>4877</v>
      </c>
      <c r="AE158" s="65">
        <v>5543352</v>
      </c>
      <c r="AF158" s="79" t="s">
        <v>5444</v>
      </c>
      <c r="AG158" s="79">
        <v>120141880</v>
      </c>
      <c r="AH158" s="79">
        <v>35219260</v>
      </c>
      <c r="AI158" s="79" t="s">
        <v>5343</v>
      </c>
      <c r="AJ158" s="65"/>
      <c r="AK158" s="65"/>
      <c r="AL158" s="65"/>
      <c r="AM158" s="65"/>
      <c r="AN158" s="65"/>
      <c r="AO158" s="65"/>
      <c r="AP158" s="65"/>
      <c r="AQ158" s="65"/>
      <c r="AR158" s="99"/>
      <c r="AS158" s="65"/>
      <c r="AT158" s="65"/>
      <c r="AU158" s="65"/>
      <c r="AV158" s="65"/>
      <c r="AW158" s="23">
        <f>AU158+AV158</f>
        <v>0</v>
      </c>
      <c r="AX158" s="41">
        <f>AW158/5280</f>
        <v>0</v>
      </c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</row>
    <row r="159" spans="1:67" x14ac:dyDescent="0.25">
      <c r="A159" s="79">
        <v>35219265</v>
      </c>
      <c r="B159" s="133" t="s">
        <v>5464</v>
      </c>
      <c r="C159" s="79">
        <v>4</v>
      </c>
      <c r="D159" s="79" t="s">
        <v>4871</v>
      </c>
      <c r="E159" s="65">
        <v>2021208</v>
      </c>
      <c r="F159" s="79">
        <v>0.9</v>
      </c>
      <c r="G159" s="37">
        <f>F159-K159</f>
        <v>0.9</v>
      </c>
      <c r="H159" s="79">
        <v>2021</v>
      </c>
      <c r="I159" s="65"/>
      <c r="J159" s="65"/>
      <c r="K159" s="37">
        <f>SUM(I159:J159)</f>
        <v>0</v>
      </c>
      <c r="L159" s="21">
        <v>0</v>
      </c>
      <c r="M159" s="79" t="s">
        <v>4880</v>
      </c>
      <c r="N159" s="65">
        <v>102251101</v>
      </c>
      <c r="O159" s="65" t="s">
        <v>1045</v>
      </c>
      <c r="P159" s="79" t="s">
        <v>1046</v>
      </c>
      <c r="Q159" s="38">
        <f>IFERROR(VLOOKUP(P159,[47]conductor_pz_summary_hftd_23_re!$B$2:$Q$3636,8,FALSE),0)</f>
        <v>6</v>
      </c>
      <c r="R159" s="38">
        <f>IFERROR(VLOOKUP(P159,[48]conductor_pz_summary_hftd_23_re!$B$2:$H$3636,7,0),0)/1609</f>
        <v>0.89694034829589175</v>
      </c>
      <c r="S159" s="23">
        <f>IFERROR(VLOOKUP(P159,[47]conductor_pz_summary_hftd_23_re!$B$2:$Q$3636,14,FALSE),0)</f>
        <v>33</v>
      </c>
      <c r="T159" s="23">
        <f>IFERROR(U159*Q159,0)</f>
        <v>3.017442450068418</v>
      </c>
      <c r="U159" s="23">
        <f>IFERROR(VLOOKUP(P159,[47]conductor_pz_summary_hftd_23_re!$B$2:$Q$3636,13,FALSE),0)</f>
        <v>0.50290707501140297</v>
      </c>
      <c r="V159" s="79">
        <f>IFERROR(VLOOKUP(P159,conductor_pz_summary_hftd_23_re!$B$2:$N$3636,13,FALSE),0)</f>
        <v>845</v>
      </c>
      <c r="W159" s="65" t="e">
        <f>(AJ159*0.67+AK159*0.99+AL159+AM159*0.99)/(SUM(AJ159:AM159))*T159*(F159/R159)</f>
        <v>#DIV/0!</v>
      </c>
      <c r="X159" s="65"/>
      <c r="Y159" s="65"/>
      <c r="Z159" s="79" t="s">
        <v>5330</v>
      </c>
      <c r="AA159" s="101" t="s">
        <v>5495</v>
      </c>
      <c r="AB159" s="65" t="s">
        <v>5247</v>
      </c>
      <c r="AC159" s="65" t="s">
        <v>5242</v>
      </c>
      <c r="AD159" s="65" t="s">
        <v>4877</v>
      </c>
      <c r="AE159" s="65">
        <v>5543353</v>
      </c>
      <c r="AF159" s="79" t="s">
        <v>5446</v>
      </c>
      <c r="AG159" s="79">
        <v>120141941</v>
      </c>
      <c r="AH159" s="79">
        <v>35219265</v>
      </c>
      <c r="AI159" s="79" t="s">
        <v>5345</v>
      </c>
      <c r="AJ159" s="65"/>
      <c r="AK159" s="65"/>
      <c r="AL159" s="65"/>
      <c r="AM159" s="65"/>
      <c r="AN159" s="135">
        <v>44196</v>
      </c>
      <c r="AO159" s="65"/>
      <c r="AP159" s="65"/>
      <c r="AQ159" s="65"/>
      <c r="AR159" s="99"/>
      <c r="AS159" s="65"/>
      <c r="AT159" s="65"/>
      <c r="AU159" s="65"/>
      <c r="AV159" s="65"/>
      <c r="AW159" s="23">
        <f>AU159+AV159</f>
        <v>0</v>
      </c>
      <c r="AX159" s="41">
        <f>AW159/5280</f>
        <v>0</v>
      </c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</row>
    <row r="160" spans="1:67" x14ac:dyDescent="0.25">
      <c r="A160" s="79">
        <v>35219273</v>
      </c>
      <c r="B160" s="133" t="s">
        <v>5464</v>
      </c>
      <c r="C160" s="79">
        <v>4</v>
      </c>
      <c r="D160" s="79" t="s">
        <v>4871</v>
      </c>
      <c r="E160" s="65">
        <v>2021213</v>
      </c>
      <c r="F160" s="79">
        <v>3.48</v>
      </c>
      <c r="G160" s="37">
        <f>F160-K160</f>
        <v>3.48</v>
      </c>
      <c r="H160" s="79">
        <v>2021</v>
      </c>
      <c r="I160" s="65"/>
      <c r="J160" s="65"/>
      <c r="K160" s="37">
        <f>SUM(I160:J160)</f>
        <v>0</v>
      </c>
      <c r="L160" s="21">
        <v>0</v>
      </c>
      <c r="M160" s="79" t="s">
        <v>4880</v>
      </c>
      <c r="N160" s="65">
        <v>102541101</v>
      </c>
      <c r="O160" s="65" t="s">
        <v>4559</v>
      </c>
      <c r="P160" s="79" t="s">
        <v>4563</v>
      </c>
      <c r="Q160" s="38">
        <f>IFERROR(VLOOKUP(P160,[47]conductor_pz_summary_hftd_23_re!$B$2:$Q$3636,8,FALSE),0)</f>
        <v>28</v>
      </c>
      <c r="R160" s="38">
        <f>IFERROR(VLOOKUP(P160,[48]conductor_pz_summary_hftd_23_re!$B$2:$H$3636,7,0),0)/1609</f>
        <v>3.4766045747279302</v>
      </c>
      <c r="S160" s="23">
        <f>IFERROR(VLOOKUP(P160,[47]conductor_pz_summary_hftd_23_re!$B$2:$Q$3636,14,FALSE),0)</f>
        <v>39</v>
      </c>
      <c r="T160" s="23">
        <f>IFERROR(U160*Q160,0)</f>
        <v>13.001261839054944</v>
      </c>
      <c r="U160" s="23">
        <f>IFERROR(VLOOKUP(P160,[47]conductor_pz_summary_hftd_23_re!$B$2:$Q$3636,13,FALSE),0)</f>
        <v>0.464330779966248</v>
      </c>
      <c r="V160" s="79">
        <f>IFERROR(VLOOKUP(P160,conductor_pz_summary_hftd_23_re!$B$2:$N$3636,13,FALSE),0)</f>
        <v>6</v>
      </c>
      <c r="W160" s="65" t="e">
        <f>(AJ160*0.67+AK160*0.99+AL160+AM160*0.99)/(SUM(AJ160:AM160))*T160*(F160/R160)</f>
        <v>#DIV/0!</v>
      </c>
      <c r="X160" s="65"/>
      <c r="Y160" s="65"/>
      <c r="Z160" s="79" t="s">
        <v>5330</v>
      </c>
      <c r="AA160" s="65" t="s">
        <v>5523</v>
      </c>
      <c r="AB160" s="65" t="s">
        <v>5524</v>
      </c>
      <c r="AC160" s="65" t="s">
        <v>5242</v>
      </c>
      <c r="AD160" s="65" t="s">
        <v>4877</v>
      </c>
      <c r="AE160" s="65">
        <v>5794543</v>
      </c>
      <c r="AF160" s="79" t="s">
        <v>5450</v>
      </c>
      <c r="AG160" s="79">
        <v>120142173</v>
      </c>
      <c r="AH160" s="79">
        <v>35219273</v>
      </c>
      <c r="AI160" s="79" t="s">
        <v>5351</v>
      </c>
      <c r="AJ160" s="65"/>
      <c r="AK160" s="65"/>
      <c r="AL160" s="65"/>
      <c r="AM160" s="65"/>
      <c r="AN160" s="135">
        <v>44196</v>
      </c>
      <c r="AO160" s="65"/>
      <c r="AP160" s="65"/>
      <c r="AQ160" s="65"/>
      <c r="AR160" s="99"/>
      <c r="AS160" s="65"/>
      <c r="AT160" s="65"/>
      <c r="AU160" s="65"/>
      <c r="AV160" s="65"/>
      <c r="AW160" s="23">
        <f>AU160+AV160</f>
        <v>0</v>
      </c>
      <c r="AX160" s="41">
        <f>AW160/5280</f>
        <v>0</v>
      </c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</row>
    <row r="161" spans="1:67" x14ac:dyDescent="0.25">
      <c r="A161" s="79">
        <v>35219286</v>
      </c>
      <c r="B161" s="133" t="s">
        <v>5464</v>
      </c>
      <c r="C161" s="79">
        <v>4</v>
      </c>
      <c r="D161" s="79" t="s">
        <v>4871</v>
      </c>
      <c r="E161" s="65">
        <v>2021220</v>
      </c>
      <c r="F161" s="79">
        <v>18.600000000000001</v>
      </c>
      <c r="G161" s="37">
        <f>F161-K161</f>
        <v>18.600000000000001</v>
      </c>
      <c r="H161" s="79">
        <v>2021</v>
      </c>
      <c r="I161" s="65"/>
      <c r="J161" s="65"/>
      <c r="K161" s="37">
        <f>SUM(I161:J161)</f>
        <v>0</v>
      </c>
      <c r="L161" s="21">
        <v>0</v>
      </c>
      <c r="M161" s="79" t="s">
        <v>4880</v>
      </c>
      <c r="N161" s="65">
        <v>103351104</v>
      </c>
      <c r="O161" s="65" t="s">
        <v>1126</v>
      </c>
      <c r="P161" s="79" t="s">
        <v>1129</v>
      </c>
      <c r="Q161" s="38">
        <f>IFERROR(VLOOKUP(P161,[47]conductor_pz_summary_hftd_23_re!$B$2:$Q$3636,8,FALSE),0)</f>
        <v>357</v>
      </c>
      <c r="R161" s="38">
        <f>IFERROR(VLOOKUP(P161,[48]conductor_pz_summary_hftd_23_re!$B$2:$H$3636,7,0),0)/1609</f>
        <v>18.604901027151772</v>
      </c>
      <c r="S161" s="23">
        <f>IFERROR(VLOOKUP(P161,[47]conductor_pz_summary_hftd_23_re!$B$2:$Q$3636,14,FALSE),0)</f>
        <v>48</v>
      </c>
      <c r="T161" s="23">
        <f>IFERROR(U161*Q161,0)</f>
        <v>151.81632260499768</v>
      </c>
      <c r="U161" s="23">
        <f>IFERROR(VLOOKUP(P161,[47]conductor_pz_summary_hftd_23_re!$B$2:$Q$3636,13,FALSE),0)</f>
        <v>0.42525580561623999</v>
      </c>
      <c r="V161" s="79">
        <f>IFERROR(VLOOKUP(P161,conductor_pz_summary_hftd_23_re!$B$2:$N$3636,13,FALSE),0)</f>
        <v>94</v>
      </c>
      <c r="W161" s="65" t="e">
        <f>(AJ161*0.67+AK161*0.99+AL161+AM161*0.99)/(SUM(AJ161:AM161))*T161*(F161/R161)</f>
        <v>#DIV/0!</v>
      </c>
      <c r="X161" s="65"/>
      <c r="Y161" s="65"/>
      <c r="Z161" s="79" t="s">
        <v>5330</v>
      </c>
      <c r="AA161" s="65" t="s">
        <v>5532</v>
      </c>
      <c r="AB161" s="65" t="s">
        <v>5490</v>
      </c>
      <c r="AC161" s="65" t="s">
        <v>5242</v>
      </c>
      <c r="AD161" s="65" t="s">
        <v>4877</v>
      </c>
      <c r="AE161" s="65">
        <v>5794554</v>
      </c>
      <c r="AF161" s="79" t="s">
        <v>5458</v>
      </c>
      <c r="AG161" s="79">
        <v>120142352</v>
      </c>
      <c r="AH161" s="79">
        <v>35219286</v>
      </c>
      <c r="AI161" s="79" t="s">
        <v>5358</v>
      </c>
      <c r="AJ161" s="65"/>
      <c r="AK161" s="65"/>
      <c r="AL161" s="65"/>
      <c r="AM161" s="65"/>
      <c r="AN161" s="135">
        <v>44196</v>
      </c>
      <c r="AO161" s="65"/>
      <c r="AP161" s="65"/>
      <c r="AQ161" s="65"/>
      <c r="AR161" s="99"/>
      <c r="AS161" s="65"/>
      <c r="AT161" s="65"/>
      <c r="AU161" s="65"/>
      <c r="AV161" s="65"/>
      <c r="AW161" s="23">
        <f>AU161+AV161</f>
        <v>0</v>
      </c>
      <c r="AX161" s="41">
        <f>AW161/5280</f>
        <v>0</v>
      </c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</row>
    <row r="162" spans="1:67" x14ac:dyDescent="0.25">
      <c r="A162" s="79">
        <v>35219287</v>
      </c>
      <c r="B162" s="106" t="s">
        <v>5464</v>
      </c>
      <c r="C162" s="79">
        <v>2</v>
      </c>
      <c r="D162" s="79" t="s">
        <v>4871</v>
      </c>
      <c r="E162" s="111">
        <v>2021221</v>
      </c>
      <c r="F162" s="79">
        <v>0.02</v>
      </c>
      <c r="G162" s="23">
        <f>F162-K162</f>
        <v>0.02</v>
      </c>
      <c r="H162" s="79">
        <v>2021</v>
      </c>
      <c r="I162" s="65"/>
      <c r="J162" s="65"/>
      <c r="K162" s="37">
        <f>SUM(I162:J162)</f>
        <v>0</v>
      </c>
      <c r="L162" s="21">
        <v>0</v>
      </c>
      <c r="M162" s="79" t="s">
        <v>4880</v>
      </c>
      <c r="N162" s="65">
        <v>103521103</v>
      </c>
      <c r="O162" s="65" t="s">
        <v>2975</v>
      </c>
      <c r="P162" s="79" t="s">
        <v>2980</v>
      </c>
      <c r="Q162" s="38">
        <f>IFERROR(VLOOKUP(P162,[47]conductor_pz_summary_hftd_23_re!$B$2:$Q$3636,8,FALSE),0)</f>
        <v>1</v>
      </c>
      <c r="R162" s="38">
        <f>IFERROR(VLOOKUP(P162,[48]conductor_pz_summary_hftd_23_re!$B$2:$H$3636,7,0),0)/1609</f>
        <v>2.2596452793510937E-2</v>
      </c>
      <c r="S162" s="23">
        <f>IFERROR(VLOOKUP(P162,[47]conductor_pz_summary_hftd_23_re!$B$2:$Q$3636,14,FALSE),0)</f>
        <v>1</v>
      </c>
      <c r="T162" s="23">
        <f>IFERROR(U162*Q162,0)</f>
        <v>3.1638837520079499</v>
      </c>
      <c r="U162" s="23">
        <f>IFERROR(VLOOKUP(P162,[47]conductor_pz_summary_hftd_23_re!$B$2:$Q$3636,13,FALSE),0)</f>
        <v>3.1638837520079499</v>
      </c>
      <c r="V162" s="79">
        <f>IFERROR(VLOOKUP(P162,conductor_pz_summary_hftd_23_re!$B$2:$N$3636,13,FALSE),0)</f>
        <v>5</v>
      </c>
      <c r="W162" s="65" t="e">
        <f>(AJ162*0.67+AK162*0.99+AL162+AM162*0.99)/(SUM(AJ162:AM162))*T162*(F162/R162)</f>
        <v>#DIV/0!</v>
      </c>
      <c r="X162" s="65"/>
      <c r="Y162" s="65"/>
      <c r="Z162" s="79" t="s">
        <v>5330</v>
      </c>
      <c r="AA162" s="65" t="s">
        <v>5493</v>
      </c>
      <c r="AB162" s="65" t="s">
        <v>5490</v>
      </c>
      <c r="AC162" s="65" t="s">
        <v>5242</v>
      </c>
      <c r="AD162" s="65" t="s">
        <v>4877</v>
      </c>
      <c r="AE162" s="65">
        <v>5794555</v>
      </c>
      <c r="AF162" s="79" t="s">
        <v>5365</v>
      </c>
      <c r="AG162" s="79">
        <v>120142356</v>
      </c>
      <c r="AH162" s="79">
        <v>35219287</v>
      </c>
      <c r="AI162" s="79" t="s">
        <v>5359</v>
      </c>
      <c r="AJ162" s="65"/>
      <c r="AK162" s="65"/>
      <c r="AL162" s="65"/>
      <c r="AM162" s="65"/>
      <c r="AN162" s="65"/>
      <c r="AO162" s="65"/>
      <c r="AP162" s="65"/>
      <c r="AQ162" s="65"/>
      <c r="AR162" s="99"/>
      <c r="AS162" s="65"/>
      <c r="AT162" s="65"/>
      <c r="AU162" s="65"/>
      <c r="AV162" s="65"/>
      <c r="AW162" s="23">
        <f>SUM(AT162:AV162)</f>
        <v>0</v>
      </c>
      <c r="AX162" s="41">
        <f>AW162/5280</f>
        <v>0</v>
      </c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</row>
    <row r="163" spans="1:67" x14ac:dyDescent="0.25">
      <c r="A163" s="79">
        <v>35219289</v>
      </c>
      <c r="B163" s="106" t="s">
        <v>5464</v>
      </c>
      <c r="C163" s="79">
        <v>2</v>
      </c>
      <c r="D163" s="79" t="s">
        <v>4871</v>
      </c>
      <c r="E163" s="65">
        <v>2021222</v>
      </c>
      <c r="F163" s="79">
        <v>57.14</v>
      </c>
      <c r="G163" s="23">
        <f>F163-K163</f>
        <v>57.14</v>
      </c>
      <c r="H163" s="79">
        <v>2021</v>
      </c>
      <c r="I163" s="65"/>
      <c r="J163" s="65"/>
      <c r="K163" s="37">
        <f>SUM(I163:J163)</f>
        <v>0</v>
      </c>
      <c r="L163" s="21">
        <v>0</v>
      </c>
      <c r="M163" s="79" t="s">
        <v>4880</v>
      </c>
      <c r="N163" s="65">
        <v>103521103</v>
      </c>
      <c r="O163" s="65" t="s">
        <v>2975</v>
      </c>
      <c r="P163" s="79" t="s">
        <v>2977</v>
      </c>
      <c r="Q163" s="38">
        <f>IFERROR(VLOOKUP(P163,[47]conductor_pz_summary_hftd_23_re!$B$2:$Q$3636,8,FALSE),0)</f>
        <v>641</v>
      </c>
      <c r="R163" s="38">
        <f>IFERROR(VLOOKUP(P163,[48]conductor_pz_summary_hftd_23_re!$B$2:$H$3636,7,0),0)/1609</f>
        <v>57.142938485843821</v>
      </c>
      <c r="S163" s="23">
        <f>IFERROR(VLOOKUP(P163,[47]conductor_pz_summary_hftd_23_re!$B$2:$Q$3636,14,FALSE),0)</f>
        <v>49</v>
      </c>
      <c r="T163" s="23">
        <f>IFERROR(U163*Q163,0)</f>
        <v>270.40280484573793</v>
      </c>
      <c r="U163" s="23">
        <f>IFERROR(VLOOKUP(P163,[47]conductor_pz_summary_hftd_23_re!$B$2:$Q$3636,13,FALSE),0)</f>
        <v>0.42184524936932599</v>
      </c>
      <c r="V163" s="79">
        <f>IFERROR(VLOOKUP(P163,conductor_pz_summary_hftd_23_re!$B$2:$N$3636,13,FALSE),0)</f>
        <v>153</v>
      </c>
      <c r="W163" s="65" t="e">
        <f>(AJ163*0.67+AK163*0.99+AL163+AM163*0.99)/(SUM(AJ163:AM163))*T163*(F163/R163)</f>
        <v>#DIV/0!</v>
      </c>
      <c r="X163" s="65"/>
      <c r="Y163" s="65"/>
      <c r="Z163" s="79" t="s">
        <v>5330</v>
      </c>
      <c r="AA163" s="65" t="s">
        <v>5493</v>
      </c>
      <c r="AB163" s="65" t="s">
        <v>5490</v>
      </c>
      <c r="AC163" s="65" t="s">
        <v>5242</v>
      </c>
      <c r="AD163" s="65" t="s">
        <v>4877</v>
      </c>
      <c r="AE163" s="65">
        <v>5794555</v>
      </c>
      <c r="AF163" s="79" t="s">
        <v>5366</v>
      </c>
      <c r="AG163" s="79">
        <v>120142359</v>
      </c>
      <c r="AH163" s="79">
        <v>35219289</v>
      </c>
      <c r="AI163" s="79" t="s">
        <v>5360</v>
      </c>
      <c r="AJ163" s="65"/>
      <c r="AK163" s="65"/>
      <c r="AL163" s="65"/>
      <c r="AM163" s="65"/>
      <c r="AN163" s="65"/>
      <c r="AO163" s="65"/>
      <c r="AP163" s="65"/>
      <c r="AQ163" s="65"/>
      <c r="AR163" s="99"/>
      <c r="AS163" s="65"/>
      <c r="AT163" s="65"/>
      <c r="AU163" s="65"/>
      <c r="AV163" s="65"/>
      <c r="AW163" s="23">
        <f>AU163+AV163</f>
        <v>0</v>
      </c>
      <c r="AX163" s="41">
        <f>AW163/5280</f>
        <v>0</v>
      </c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</row>
    <row r="164" spans="1:67" x14ac:dyDescent="0.25">
      <c r="A164" s="79">
        <v>35219589</v>
      </c>
      <c r="B164" s="106" t="s">
        <v>5464</v>
      </c>
      <c r="C164" s="79">
        <v>2</v>
      </c>
      <c r="D164" s="79" t="s">
        <v>4871</v>
      </c>
      <c r="E164" s="65">
        <v>2021226</v>
      </c>
      <c r="F164" s="79">
        <v>7.83</v>
      </c>
      <c r="G164" s="104">
        <f>F164-K164</f>
        <v>7.83</v>
      </c>
      <c r="H164" s="79">
        <v>2021</v>
      </c>
      <c r="I164" s="65"/>
      <c r="J164" s="65"/>
      <c r="K164" s="37">
        <f>SUM(I164:J164)</f>
        <v>0</v>
      </c>
      <c r="L164" s="21">
        <v>0</v>
      </c>
      <c r="M164" s="79" t="s">
        <v>4880</v>
      </c>
      <c r="N164" s="65">
        <v>103611101</v>
      </c>
      <c r="O164" s="65" t="s">
        <v>4644</v>
      </c>
      <c r="P164" s="79" t="s">
        <v>4643</v>
      </c>
      <c r="Q164" s="38">
        <f>IFERROR(VLOOKUP(P164,[47]conductor_pz_summary_hftd_23_re!$B$2:$Q$3636,8,FALSE),0)</f>
        <v>31</v>
      </c>
      <c r="R164" s="38">
        <f>IFERROR(VLOOKUP(P164,[48]conductor_pz_summary_hftd_23_re!$B$2:$H$3636,7,0),0)/1609</f>
        <v>7.8322668071100061</v>
      </c>
      <c r="S164" s="23">
        <f>IFERROR(VLOOKUP(P164,[47]conductor_pz_summary_hftd_23_re!$B$2:$Q$3636,14,FALSE),0)</f>
        <v>52</v>
      </c>
      <c r="T164" s="23">
        <f>IFERROR(U164*Q164,0)</f>
        <v>12.983672756054411</v>
      </c>
      <c r="U164" s="23">
        <f>IFERROR(VLOOKUP(P164,[47]conductor_pz_summary_hftd_23_re!$B$2:$Q$3636,13,FALSE),0)</f>
        <v>0.41882815342111002</v>
      </c>
      <c r="V164" s="79">
        <f>IFERROR(VLOOKUP(P164,conductor_pz_summary_hftd_23_re!$B$2:$N$3636,13,FALSE),0)</f>
        <v>68</v>
      </c>
      <c r="W164" s="65" t="e">
        <f>(AJ164*0.67+AK164*0.99+AL164+AM164*0.99)/(SUM(AJ164:AM164))*T164*(F164/R164)</f>
        <v>#DIV/0!</v>
      </c>
      <c r="X164" s="65"/>
      <c r="Y164" s="65"/>
      <c r="Z164" s="79" t="s">
        <v>5330</v>
      </c>
      <c r="AA164" s="65" t="s">
        <v>5533</v>
      </c>
      <c r="AB164" s="65" t="s">
        <v>5490</v>
      </c>
      <c r="AC164" s="65" t="s">
        <v>5242</v>
      </c>
      <c r="AD164" s="65" t="s">
        <v>4877</v>
      </c>
      <c r="AE164" s="65">
        <v>5794561</v>
      </c>
      <c r="AF164" s="79" t="s">
        <v>5483</v>
      </c>
      <c r="AG164" s="79">
        <v>120165231</v>
      </c>
      <c r="AH164" s="79">
        <v>35219589</v>
      </c>
      <c r="AI164" s="79" t="s">
        <v>5477</v>
      </c>
      <c r="AJ164" s="65"/>
      <c r="AK164" s="65"/>
      <c r="AL164" s="65"/>
      <c r="AM164" s="65"/>
      <c r="AN164" s="65"/>
      <c r="AO164" s="65"/>
      <c r="AP164" s="65"/>
      <c r="AQ164" s="65"/>
      <c r="AR164" s="99"/>
      <c r="AS164" s="65"/>
      <c r="AT164" s="65"/>
      <c r="AU164" s="65"/>
      <c r="AV164" s="65"/>
      <c r="AW164" s="23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</row>
    <row r="165" spans="1:67" x14ac:dyDescent="0.25">
      <c r="A165" s="79">
        <v>35219291</v>
      </c>
      <c r="B165" s="133" t="s">
        <v>5464</v>
      </c>
      <c r="C165" s="79">
        <v>2</v>
      </c>
      <c r="D165" s="79" t="s">
        <v>4871</v>
      </c>
      <c r="E165" s="65">
        <v>2021201</v>
      </c>
      <c r="F165" s="79">
        <v>0.79</v>
      </c>
      <c r="G165" s="37">
        <f>F165-K165</f>
        <v>0.79</v>
      </c>
      <c r="H165" s="79">
        <v>2021</v>
      </c>
      <c r="I165" s="65"/>
      <c r="J165" s="65"/>
      <c r="K165" s="37">
        <f>SUM(I165:J165)</f>
        <v>0</v>
      </c>
      <c r="L165" s="21">
        <v>0</v>
      </c>
      <c r="M165" s="79" t="s">
        <v>4880</v>
      </c>
      <c r="N165" s="65">
        <v>63591101</v>
      </c>
      <c r="O165" s="65" t="s">
        <v>4458</v>
      </c>
      <c r="P165" s="79" t="s">
        <v>4457</v>
      </c>
      <c r="Q165" s="38">
        <f>IFERROR(VLOOKUP(P165,[47]conductor_pz_summary_hftd_23_re!$B$2:$Q$3636,8,FALSE),0)</f>
        <v>11</v>
      </c>
      <c r="R165" s="38">
        <f>IFERROR(VLOOKUP(P165,[48]conductor_pz_summary_hftd_23_re!$B$2:$H$3636,7,0),0)/1609</f>
        <v>0.78765605361673718</v>
      </c>
      <c r="S165" s="23">
        <f>IFERROR(VLOOKUP(P165,[47]conductor_pz_summary_hftd_23_re!$B$2:$Q$3636,14,FALSE),0)</f>
        <v>20</v>
      </c>
      <c r="T165" s="23">
        <f>IFERROR(U165*Q165,0)</f>
        <v>6.8231897329512066</v>
      </c>
      <c r="U165" s="23">
        <f>IFERROR(VLOOKUP(P165,[47]conductor_pz_summary_hftd_23_re!$B$2:$Q$3636,13,FALSE),0)</f>
        <v>0.62028997572283695</v>
      </c>
      <c r="V165" s="79">
        <f>IFERROR(VLOOKUP(P165,conductor_pz_summary_hftd_23_re!$B$2:$N$3636,13,FALSE),0)</f>
        <v>24</v>
      </c>
      <c r="W165" s="65" t="e">
        <f>(AJ165*0.67+AK165*0.99+AL165+AM165*0.99)/(SUM(AJ165:AM165))*T165*(F165/R165)</f>
        <v>#DIV/0!</v>
      </c>
      <c r="X165" s="65"/>
      <c r="Y165" s="65"/>
      <c r="Z165" s="79" t="s">
        <v>5330</v>
      </c>
      <c r="AA165" s="101" t="s">
        <v>5509</v>
      </c>
      <c r="AB165" s="65" t="s">
        <v>5512</v>
      </c>
      <c r="AC165" s="65" t="s">
        <v>5310</v>
      </c>
      <c r="AD165" s="65" t="s">
        <v>4877</v>
      </c>
      <c r="AE165" s="65">
        <v>5543350</v>
      </c>
      <c r="AF165" s="79" t="s">
        <v>5440</v>
      </c>
      <c r="AG165" s="79">
        <v>120141627</v>
      </c>
      <c r="AH165" s="79">
        <v>35219291</v>
      </c>
      <c r="AI165" s="79" t="s">
        <v>5338</v>
      </c>
      <c r="AJ165" s="65"/>
      <c r="AK165" s="65"/>
      <c r="AL165" s="65"/>
      <c r="AM165" s="65"/>
      <c r="AN165" s="135">
        <v>44196</v>
      </c>
      <c r="AO165" s="65"/>
      <c r="AP165" s="65"/>
      <c r="AQ165" s="65"/>
      <c r="AR165" s="99"/>
      <c r="AS165" s="65"/>
      <c r="AT165" s="65"/>
      <c r="AU165" s="65"/>
      <c r="AV165" s="65"/>
      <c r="AW165" s="23">
        <f>AU165+AV165</f>
        <v>0</v>
      </c>
      <c r="AX165" s="41">
        <f>AW165/5280</f>
        <v>0</v>
      </c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</row>
    <row r="166" spans="1:67" x14ac:dyDescent="0.25">
      <c r="A166" s="79">
        <v>35219269</v>
      </c>
      <c r="B166" s="134" t="s">
        <v>5464</v>
      </c>
      <c r="C166" s="79">
        <v>2</v>
      </c>
      <c r="D166" s="79" t="s">
        <v>4871</v>
      </c>
      <c r="E166" s="65">
        <v>2021211</v>
      </c>
      <c r="F166" s="79">
        <v>23.17</v>
      </c>
      <c r="G166" s="37">
        <f>F166-K166</f>
        <v>23.17</v>
      </c>
      <c r="H166" s="79">
        <v>2021</v>
      </c>
      <c r="I166" s="65"/>
      <c r="J166" s="65"/>
      <c r="K166" s="37">
        <f>SUM(I166:J166)</f>
        <v>0</v>
      </c>
      <c r="L166" s="21">
        <v>0</v>
      </c>
      <c r="M166" s="79" t="s">
        <v>4880</v>
      </c>
      <c r="N166" s="65">
        <v>63591105</v>
      </c>
      <c r="O166" s="65" t="s">
        <v>4461</v>
      </c>
      <c r="P166" s="79" t="s">
        <v>4460</v>
      </c>
      <c r="Q166" s="38">
        <f>IFERROR(VLOOKUP(P166,[47]conductor_pz_summary_hftd_23_re!$B$2:$Q$3636,8,FALSE),0)</f>
        <v>464</v>
      </c>
      <c r="R166" s="38">
        <f>IFERROR(VLOOKUP(P166,[48]conductor_pz_summary_hftd_23_re!$B$2:$H$3636,7,0),0)/1609</f>
        <v>23.165292462931696</v>
      </c>
      <c r="S166" s="23">
        <f>IFERROR(VLOOKUP(P166,[47]conductor_pz_summary_hftd_23_re!$B$2:$Q$3636,14,FALSE),0)</f>
        <v>37</v>
      </c>
      <c r="T166" s="23">
        <f>IFERROR(U166*Q166,0)</f>
        <v>217.02195680530696</v>
      </c>
      <c r="U166" s="23">
        <f>IFERROR(VLOOKUP(P166,[47]conductor_pz_summary_hftd_23_re!$B$2:$Q$3636,13,FALSE),0)</f>
        <v>0.46771973449419602</v>
      </c>
      <c r="V166" s="79">
        <f>IFERROR(VLOOKUP(P166,conductor_pz_summary_hftd_23_re!$B$2:$N$3636,13,FALSE),0)</f>
        <v>100</v>
      </c>
      <c r="W166" s="65" t="e">
        <f>(AJ166*0.67+AK166*0.99+AL166+AM166*0.99)/(SUM(AJ166:AM166))*T166*(F166/R166)</f>
        <v>#DIV/0!</v>
      </c>
      <c r="X166" s="65"/>
      <c r="Y166" s="65"/>
      <c r="Z166" s="79" t="s">
        <v>5330</v>
      </c>
      <c r="AA166" s="65" t="s">
        <v>5509</v>
      </c>
      <c r="AB166" s="65" t="s">
        <v>5512</v>
      </c>
      <c r="AC166" s="65" t="s">
        <v>5310</v>
      </c>
      <c r="AD166" s="65" t="s">
        <v>4877</v>
      </c>
      <c r="AE166" s="65">
        <v>5794542</v>
      </c>
      <c r="AF166" s="79" t="s">
        <v>5449</v>
      </c>
      <c r="AG166" s="79">
        <v>120142106</v>
      </c>
      <c r="AH166" s="79">
        <v>35219269</v>
      </c>
      <c r="AI166" s="79" t="s">
        <v>5349</v>
      </c>
      <c r="AJ166" s="65"/>
      <c r="AK166" s="65"/>
      <c r="AL166" s="65"/>
      <c r="AM166" s="65"/>
      <c r="AN166" s="65"/>
      <c r="AO166" s="65"/>
      <c r="AP166" s="65"/>
      <c r="AQ166" s="65"/>
      <c r="AR166" s="99"/>
      <c r="AS166" s="65"/>
      <c r="AT166" s="65"/>
      <c r="AU166" s="65"/>
      <c r="AV166" s="65"/>
      <c r="AW166" s="23">
        <f>AU166+AV166</f>
        <v>0</v>
      </c>
      <c r="AX166" s="41">
        <f>AW166/5280</f>
        <v>0</v>
      </c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</row>
    <row r="167" spans="1:67" x14ac:dyDescent="0.25">
      <c r="A167" s="79">
        <v>35219275</v>
      </c>
      <c r="B167" s="133" t="s">
        <v>5464</v>
      </c>
      <c r="C167" s="79">
        <v>2</v>
      </c>
      <c r="D167" s="79" t="s">
        <v>4871</v>
      </c>
      <c r="E167" s="65">
        <v>2021214</v>
      </c>
      <c r="F167" s="79">
        <v>0.64</v>
      </c>
      <c r="G167" s="37">
        <f>F167-K167</f>
        <v>0.64</v>
      </c>
      <c r="H167" s="79">
        <v>2021</v>
      </c>
      <c r="I167" s="65"/>
      <c r="J167" s="65"/>
      <c r="K167" s="37">
        <f>SUM(I167:J167)</f>
        <v>0</v>
      </c>
      <c r="L167" s="21">
        <v>0</v>
      </c>
      <c r="M167" s="79" t="s">
        <v>4880</v>
      </c>
      <c r="N167" s="65">
        <v>63681102</v>
      </c>
      <c r="O167" s="65" t="s">
        <v>3468</v>
      </c>
      <c r="P167" s="79" t="s">
        <v>3467</v>
      </c>
      <c r="Q167" s="38">
        <f>IFERROR(VLOOKUP(P167,[47]conductor_pz_summary_hftd_23_re!$B$2:$Q$3636,8,FALSE),0)</f>
        <v>38</v>
      </c>
      <c r="R167" s="38">
        <f>IFERROR(VLOOKUP(P167,[48]conductor_pz_summary_hftd_23_re!$B$2:$H$3636,7,0),0)/1609</f>
        <v>0.63713158826654448</v>
      </c>
      <c r="S167" s="23">
        <f>IFERROR(VLOOKUP(P167,[47]conductor_pz_summary_hftd_23_re!$B$2:$Q$3636,14,FALSE),0)</f>
        <v>41</v>
      </c>
      <c r="T167" s="23">
        <f>IFERROR(U167*Q167,0)</f>
        <v>17.311484727723496</v>
      </c>
      <c r="U167" s="23">
        <f>IFERROR(VLOOKUP(P167,[47]conductor_pz_summary_hftd_23_re!$B$2:$Q$3636,13,FALSE),0)</f>
        <v>0.45556538757167098</v>
      </c>
      <c r="V167" s="79">
        <f>IFERROR(VLOOKUP(P167,conductor_pz_summary_hftd_23_re!$B$2:$N$3636,13,FALSE),0)</f>
        <v>96</v>
      </c>
      <c r="W167" s="65" t="e">
        <f>(AJ167*0.67+AK167*0.99+AL167+AM167*0.99)/(SUM(AJ167:AM167))*T167*(F167/R167)</f>
        <v>#DIV/0!</v>
      </c>
      <c r="X167" s="65"/>
      <c r="Y167" s="65"/>
      <c r="Z167" s="79" t="s">
        <v>5330</v>
      </c>
      <c r="AA167" s="65" t="s">
        <v>5525</v>
      </c>
      <c r="AB167" s="65" t="s">
        <v>5512</v>
      </c>
      <c r="AC167" s="65" t="s">
        <v>5310</v>
      </c>
      <c r="AD167" s="65" t="s">
        <v>4877</v>
      </c>
      <c r="AE167" s="65">
        <v>5543347</v>
      </c>
      <c r="AF167" s="79" t="s">
        <v>5451</v>
      </c>
      <c r="AG167" s="79">
        <v>120142210</v>
      </c>
      <c r="AH167" s="79">
        <v>35219275</v>
      </c>
      <c r="AI167" s="79" t="s">
        <v>5352</v>
      </c>
      <c r="AJ167" s="65"/>
      <c r="AK167" s="65"/>
      <c r="AL167" s="65"/>
      <c r="AM167" s="65"/>
      <c r="AN167" s="135">
        <v>44196</v>
      </c>
      <c r="AO167" s="65"/>
      <c r="AP167" s="65"/>
      <c r="AQ167" s="65"/>
      <c r="AR167" s="99"/>
      <c r="AS167" s="65"/>
      <c r="AT167" s="65"/>
      <c r="AU167" s="65"/>
      <c r="AV167" s="65"/>
      <c r="AW167" s="23">
        <f>AU167+AV167</f>
        <v>0</v>
      </c>
      <c r="AX167" s="41">
        <f>AW167/5280</f>
        <v>0</v>
      </c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</row>
    <row r="168" spans="1:67" x14ac:dyDescent="0.25">
      <c r="A168" s="79">
        <v>35219276</v>
      </c>
      <c r="B168" s="106" t="s">
        <v>5464</v>
      </c>
      <c r="C168" s="79">
        <v>2</v>
      </c>
      <c r="D168" s="79" t="s">
        <v>4871</v>
      </c>
      <c r="E168" s="65">
        <v>2021215</v>
      </c>
      <c r="F168" s="79">
        <v>14.66</v>
      </c>
      <c r="G168" s="37">
        <f>F168-K168</f>
        <v>14.66</v>
      </c>
      <c r="H168" s="79">
        <v>2021</v>
      </c>
      <c r="I168" s="65"/>
      <c r="J168" s="65"/>
      <c r="K168" s="37">
        <f>SUM(I168:J168)</f>
        <v>0</v>
      </c>
      <c r="L168" s="21">
        <v>0</v>
      </c>
      <c r="M168" s="79" t="s">
        <v>4880</v>
      </c>
      <c r="N168" s="65">
        <v>63601104</v>
      </c>
      <c r="O168" s="65" t="s">
        <v>4465</v>
      </c>
      <c r="P168" s="79" t="s">
        <v>4464</v>
      </c>
      <c r="Q168" s="38">
        <f>IFERROR(VLOOKUP(P168,[47]conductor_pz_summary_hftd_23_re!$B$2:$Q$3636,8,FALSE),0)</f>
        <v>140</v>
      </c>
      <c r="R168" s="38">
        <f>IFERROR(VLOOKUP(P168,[48]conductor_pz_summary_hftd_23_re!$B$2:$H$3636,7,0),0)/1609</f>
        <v>14.660160930794284</v>
      </c>
      <c r="S168" s="23">
        <f>IFERROR(VLOOKUP(P168,[47]conductor_pz_summary_hftd_23_re!$B$2:$Q$3636,14,FALSE),0)</f>
        <v>42</v>
      </c>
      <c r="T168" s="23">
        <f>IFERROR(U168*Q168,0)</f>
        <v>62.498549265155361</v>
      </c>
      <c r="U168" s="23">
        <f>IFERROR(VLOOKUP(P168,[47]conductor_pz_summary_hftd_23_re!$B$2:$Q$3636,13,FALSE),0)</f>
        <v>0.446418209036824</v>
      </c>
      <c r="V168" s="79">
        <f>IFERROR(VLOOKUP(P168,conductor_pz_summary_hftd_23_re!$B$2:$N$3636,13,FALSE),0)</f>
        <v>86</v>
      </c>
      <c r="W168" s="65" t="e">
        <f>(AJ168*0.67+AK168*0.99+AL168+AM168*0.99)/(SUM(AJ168:AM168))*T168*(F168/R168)</f>
        <v>#DIV/0!</v>
      </c>
      <c r="X168" s="65"/>
      <c r="Y168" s="65"/>
      <c r="Z168" s="79" t="s">
        <v>5330</v>
      </c>
      <c r="AA168" s="65" t="s">
        <v>5509</v>
      </c>
      <c r="AB168" s="65" t="s">
        <v>5512</v>
      </c>
      <c r="AC168" s="65" t="s">
        <v>5310</v>
      </c>
      <c r="AD168" s="65" t="s">
        <v>4877</v>
      </c>
      <c r="AE168" s="65">
        <v>5794545</v>
      </c>
      <c r="AF168" s="79" t="s">
        <v>5452</v>
      </c>
      <c r="AG168" s="79">
        <v>120142212</v>
      </c>
      <c r="AH168" s="79">
        <v>35219276</v>
      </c>
      <c r="AI168" s="79" t="s">
        <v>5353</v>
      </c>
      <c r="AJ168" s="65"/>
      <c r="AK168" s="65"/>
      <c r="AL168" s="65"/>
      <c r="AM168" s="65"/>
      <c r="AN168" s="65"/>
      <c r="AO168" s="65"/>
      <c r="AP168" s="65"/>
      <c r="AQ168" s="65"/>
      <c r="AR168" s="99"/>
      <c r="AS168" s="65"/>
      <c r="AT168" s="65"/>
      <c r="AU168" s="65"/>
      <c r="AV168" s="65"/>
      <c r="AW168" s="23">
        <f>AU168+AV168</f>
        <v>0</v>
      </c>
      <c r="AX168" s="41">
        <f>AW168/5280</f>
        <v>0</v>
      </c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</row>
    <row r="169" spans="1:67" x14ac:dyDescent="0.25">
      <c r="A169" s="79">
        <v>35219590</v>
      </c>
      <c r="B169" s="133" t="s">
        <v>5464</v>
      </c>
      <c r="C169" s="79">
        <v>2</v>
      </c>
      <c r="D169" s="79" t="s">
        <v>4871</v>
      </c>
      <c r="E169" s="65">
        <v>2021227</v>
      </c>
      <c r="F169" s="79">
        <v>0.75</v>
      </c>
      <c r="G169" s="104">
        <f>F169-K169</f>
        <v>0.75</v>
      </c>
      <c r="H169" s="79">
        <v>2021</v>
      </c>
      <c r="I169" s="65"/>
      <c r="J169" s="65"/>
      <c r="K169" s="37">
        <f>SUM(I169:J169)</f>
        <v>0</v>
      </c>
      <c r="L169" s="21">
        <v>0</v>
      </c>
      <c r="M169" s="79" t="s">
        <v>4880</v>
      </c>
      <c r="N169" s="65">
        <v>63591105</v>
      </c>
      <c r="O169" s="65" t="s">
        <v>4461</v>
      </c>
      <c r="P169" s="79" t="s">
        <v>4462</v>
      </c>
      <c r="Q169" s="38">
        <f>IFERROR(VLOOKUP(P169,[47]conductor_pz_summary_hftd_23_re!$B$2:$Q$3636,8,FALSE),0)</f>
        <v>21</v>
      </c>
      <c r="R169" s="38">
        <f>IFERROR(VLOOKUP(P169,[48]conductor_pz_summary_hftd_23_re!$B$2:$H$3636,7,0),0)/1609</f>
        <v>0.75146626684492235</v>
      </c>
      <c r="S169" s="23">
        <f>IFERROR(VLOOKUP(P169,[47]conductor_pz_summary_hftd_23_re!$B$2:$Q$3636,14,FALSE),0)</f>
        <v>53</v>
      </c>
      <c r="T169" s="23">
        <f>IFERROR(U169*Q169,0)</f>
        <v>8.6971020580462834</v>
      </c>
      <c r="U169" s="23">
        <f>IFERROR(VLOOKUP(P169,[47]conductor_pz_summary_hftd_23_re!$B$2:$Q$3636,13,FALSE),0)</f>
        <v>0.41414771704982301</v>
      </c>
      <c r="V169" s="79">
        <f>IFERROR(VLOOKUP(P169,conductor_pz_summary_hftd_23_re!$B$2:$N$3636,13,FALSE),0)</f>
        <v>91</v>
      </c>
      <c r="W169" s="65" t="e">
        <f>(AJ169*0.67+AK169*0.99+AL169+AM169*0.99)/(SUM(AJ169:AM169))*T169*(F169/R169)</f>
        <v>#DIV/0!</v>
      </c>
      <c r="X169" s="65"/>
      <c r="Y169" s="65"/>
      <c r="Z169" s="79" t="s">
        <v>5330</v>
      </c>
      <c r="AA169" s="65" t="s">
        <v>5509</v>
      </c>
      <c r="AB169" s="65" t="s">
        <v>5512</v>
      </c>
      <c r="AC169" s="65" t="s">
        <v>5310</v>
      </c>
      <c r="AD169" s="65" t="s">
        <v>4877</v>
      </c>
      <c r="AE169" s="65">
        <v>5794542</v>
      </c>
      <c r="AF169" s="79" t="s">
        <v>5484</v>
      </c>
      <c r="AG169" s="79">
        <v>120165232</v>
      </c>
      <c r="AH169" s="79">
        <v>35219590</v>
      </c>
      <c r="AI169" s="79" t="s">
        <v>5478</v>
      </c>
      <c r="AJ169" s="65"/>
      <c r="AK169" s="65"/>
      <c r="AL169" s="65"/>
      <c r="AM169" s="65"/>
      <c r="AN169" s="135">
        <v>44196</v>
      </c>
      <c r="AO169" s="65"/>
      <c r="AP169" s="65"/>
      <c r="AQ169" s="65"/>
      <c r="AR169" s="99"/>
      <c r="AS169" s="65"/>
      <c r="AT169" s="65"/>
      <c r="AU169" s="65"/>
      <c r="AV169" s="65"/>
      <c r="AW169" s="23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</row>
    <row r="170" spans="1:67" x14ac:dyDescent="0.25">
      <c r="A170" s="79">
        <v>35219279</v>
      </c>
      <c r="B170" s="136" t="s">
        <v>5464</v>
      </c>
      <c r="C170" s="79">
        <v>2</v>
      </c>
      <c r="D170" s="79" t="s">
        <v>4871</v>
      </c>
      <c r="E170" s="65">
        <v>2021229</v>
      </c>
      <c r="F170" s="103">
        <v>0.28899999999999998</v>
      </c>
      <c r="G170" s="37">
        <f>F170-K170</f>
        <v>0.28899999999999998</v>
      </c>
      <c r="H170" s="79">
        <v>2021</v>
      </c>
      <c r="I170" s="65"/>
      <c r="J170" s="65"/>
      <c r="K170" s="37">
        <f>SUM(I170:J170)</f>
        <v>0</v>
      </c>
      <c r="L170" s="21">
        <v>0</v>
      </c>
      <c r="M170" s="79" t="s">
        <v>4880</v>
      </c>
      <c r="N170" s="65">
        <v>63601108</v>
      </c>
      <c r="O170" s="65" t="s">
        <v>4470</v>
      </c>
      <c r="P170" s="79" t="s">
        <v>4471</v>
      </c>
      <c r="Q170" s="38">
        <f>IFERROR(VLOOKUP(P170,[47]conductor_pz_summary_hftd_23_re!$B$2:$Q$3636,8,FALSE),0)</f>
        <v>147</v>
      </c>
      <c r="R170" s="38">
        <f>IFERROR(VLOOKUP(P170,[48]conductor_pz_summary_hftd_23_re!$B$2:$H$3636,7,0),0)/1609</f>
        <v>13.834441421869174</v>
      </c>
      <c r="S170" s="23">
        <f>IFERROR(VLOOKUP(P170,[47]conductor_pz_summary_hftd_23_re!$B$2:$Q$3636,14,FALSE),0)</f>
        <v>64</v>
      </c>
      <c r="T170" s="23">
        <f>IFERROR(U170*Q170,0)</f>
        <v>57.532697545348597</v>
      </c>
      <c r="U170" s="23">
        <f>IFERROR(VLOOKUP(P170,[47]conductor_pz_summary_hftd_23_re!$B$2:$Q$3636,13,FALSE),0)</f>
        <v>0.391378894866317</v>
      </c>
      <c r="V170" s="79">
        <f>IFERROR(VLOOKUP(P170,conductor_pz_summary_hftd_23_re!$B$2:$N$3636,13,FALSE),0)</f>
        <v>108</v>
      </c>
      <c r="W170" s="65" t="e">
        <f>(AJ170*0.67+AK170*0.99+AL170+AM170*0.99)/(SUM(AJ170:AM170))*T170*(F170/R170)</f>
        <v>#DIV/0!</v>
      </c>
      <c r="X170" s="65"/>
      <c r="Y170" s="65"/>
      <c r="Z170" s="79" t="s">
        <v>5330</v>
      </c>
      <c r="AA170" s="65" t="s">
        <v>5509</v>
      </c>
      <c r="AB170" s="65" t="s">
        <v>5512</v>
      </c>
      <c r="AC170" s="65" t="s">
        <v>5310</v>
      </c>
      <c r="AD170" s="65" t="s">
        <v>4877</v>
      </c>
      <c r="AE170" s="65">
        <v>5543348</v>
      </c>
      <c r="AF170" s="79" t="s">
        <v>5453</v>
      </c>
      <c r="AG170" s="79">
        <v>120142213</v>
      </c>
      <c r="AH170" s="79">
        <v>35219279</v>
      </c>
      <c r="AI170" s="79" t="s">
        <v>5354</v>
      </c>
      <c r="AJ170" s="65"/>
      <c r="AK170" s="65"/>
      <c r="AL170" s="65"/>
      <c r="AM170" s="65"/>
      <c r="AN170" s="135"/>
      <c r="AO170" s="65"/>
      <c r="AP170" s="65"/>
      <c r="AQ170" s="65"/>
      <c r="AR170" s="99"/>
      <c r="AS170" s="65"/>
      <c r="AT170" s="65"/>
      <c r="AU170" s="65"/>
      <c r="AV170" s="65"/>
      <c r="AW170" s="23">
        <f>AU170+AV170</f>
        <v>0</v>
      </c>
      <c r="AX170" s="41">
        <f>AW170/5280</f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79">
        <v>35219281</v>
      </c>
      <c r="B171" s="133" t="s">
        <v>5464</v>
      </c>
      <c r="C171" s="79">
        <v>4</v>
      </c>
      <c r="D171" s="79" t="s">
        <v>4871</v>
      </c>
      <c r="E171" s="65">
        <v>2021217</v>
      </c>
      <c r="F171" s="79">
        <v>5.71</v>
      </c>
      <c r="G171" s="37">
        <f>F171-K171</f>
        <v>5.71</v>
      </c>
      <c r="H171" s="79">
        <v>2021</v>
      </c>
      <c r="I171" s="65"/>
      <c r="J171" s="65"/>
      <c r="K171" s="37">
        <f>SUM(I171:J171)</f>
        <v>0</v>
      </c>
      <c r="L171" s="21">
        <v>0</v>
      </c>
      <c r="M171" s="79" t="s">
        <v>4880</v>
      </c>
      <c r="N171" s="65">
        <v>152282101</v>
      </c>
      <c r="O171" s="65" t="s">
        <v>2681</v>
      </c>
      <c r="P171" s="79" t="s">
        <v>2690</v>
      </c>
      <c r="Q171" s="38">
        <f>IFERROR(VLOOKUP(P171,[47]conductor_pz_summary_hftd_23_re!$B$2:$Q$3636,8,FALSE),0)</f>
        <v>58</v>
      </c>
      <c r="R171" s="38">
        <f>IFERROR(VLOOKUP(P171,[48]conductor_pz_summary_hftd_23_re!$B$2:$H$3636,7,0),0)/1609</f>
        <v>5.7103623206985512</v>
      </c>
      <c r="S171" s="23">
        <f>IFERROR(VLOOKUP(P171,[47]conductor_pz_summary_hftd_23_re!$B$2:$Q$3636,14,FALSE),0)</f>
        <v>45</v>
      </c>
      <c r="T171" s="23">
        <f>IFERROR(U171*Q171,0)</f>
        <v>25.247337522026598</v>
      </c>
      <c r="U171" s="23">
        <f>IFERROR(VLOOKUP(P171,[47]conductor_pz_summary_hftd_23_re!$B$2:$Q$3636,13,FALSE),0)</f>
        <v>0.43529892279356203</v>
      </c>
      <c r="V171" s="79">
        <f>IFERROR(VLOOKUP(P171,conductor_pz_summary_hftd_23_re!$B$2:$N$3636,13,FALSE),0)</f>
        <v>135</v>
      </c>
      <c r="W171" s="65" t="e">
        <f>(AJ171*0.67+AK171*0.99+AL171+AM171*0.99)/(SUM(AJ171:AM171))*T171*(F171/R171)</f>
        <v>#DIV/0!</v>
      </c>
      <c r="X171" s="65"/>
      <c r="Y171" s="65"/>
      <c r="Z171" s="79" t="s">
        <v>5330</v>
      </c>
      <c r="AA171" s="65" t="s">
        <v>5528</v>
      </c>
      <c r="AB171" s="65" t="s">
        <v>4890</v>
      </c>
      <c r="AC171" s="65" t="s">
        <v>4891</v>
      </c>
      <c r="AD171" s="65" t="s">
        <v>4877</v>
      </c>
      <c r="AE171" s="65">
        <v>5794551</v>
      </c>
      <c r="AF171" s="79" t="s">
        <v>5455</v>
      </c>
      <c r="AG171" s="79">
        <v>120142240</v>
      </c>
      <c r="AH171" s="79">
        <v>35219281</v>
      </c>
      <c r="AI171" s="79" t="s">
        <v>5356</v>
      </c>
      <c r="AJ171" s="65"/>
      <c r="AK171" s="65"/>
      <c r="AL171" s="65"/>
      <c r="AM171" s="65"/>
      <c r="AN171" s="135">
        <v>44196</v>
      </c>
      <c r="AO171" s="65"/>
      <c r="AP171" s="65"/>
      <c r="AQ171" s="65"/>
      <c r="AR171" s="99"/>
      <c r="AS171" s="65"/>
      <c r="AT171" s="65"/>
      <c r="AU171" s="65"/>
      <c r="AV171" s="65"/>
      <c r="AW171" s="23">
        <f>AU171+AV171</f>
        <v>0</v>
      </c>
      <c r="AX171" s="41">
        <f>AW171/5280</f>
        <v>0</v>
      </c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</row>
    <row r="172" spans="1:67" x14ac:dyDescent="0.25">
      <c r="A172" s="79">
        <v>35219591</v>
      </c>
      <c r="B172" s="106" t="s">
        <v>5464</v>
      </c>
      <c r="C172" s="79">
        <v>2</v>
      </c>
      <c r="D172" s="79" t="s">
        <v>4871</v>
      </c>
      <c r="E172" s="65">
        <v>2021228</v>
      </c>
      <c r="F172" s="79">
        <v>2.88</v>
      </c>
      <c r="G172" s="104">
        <f>F172-K172</f>
        <v>2.88</v>
      </c>
      <c r="H172" s="79">
        <v>2021</v>
      </c>
      <c r="I172" s="65"/>
      <c r="J172" s="65"/>
      <c r="K172" s="37">
        <f>SUM(I172:J172)</f>
        <v>0</v>
      </c>
      <c r="L172" s="21">
        <v>0</v>
      </c>
      <c r="M172" s="79" t="s">
        <v>4880</v>
      </c>
      <c r="N172" s="65">
        <v>163541101</v>
      </c>
      <c r="O172" s="65" t="s">
        <v>5480</v>
      </c>
      <c r="P172" s="79" t="s">
        <v>2957</v>
      </c>
      <c r="Q172" s="38">
        <f>IFERROR(VLOOKUP(P172,[47]conductor_pz_summary_hftd_23_re!$B$2:$Q$3636,8,FALSE),0)</f>
        <v>29</v>
      </c>
      <c r="R172" s="38">
        <f>IFERROR(VLOOKUP(P172,[48]conductor_pz_summary_hftd_23_re!$B$2:$H$3636,7,0),0)/1609</f>
        <v>2.8841288480634493</v>
      </c>
      <c r="S172" s="23">
        <f>IFERROR(VLOOKUP(P172,[47]conductor_pz_summary_hftd_23_re!$B$2:$Q$3636,14,FALSE),0)</f>
        <v>54</v>
      </c>
      <c r="T172" s="23">
        <f>IFERROR(U172*Q172,0)</f>
        <v>11.806583015215489</v>
      </c>
      <c r="U172" s="23">
        <f>IFERROR(VLOOKUP(P172,[47]conductor_pz_summary_hftd_23_re!$B$2:$Q$3636,13,FALSE),0)</f>
        <v>0.40712355224880997</v>
      </c>
      <c r="V172" s="79">
        <f>IFERROR(VLOOKUP(P172,conductor_pz_summary_hftd_23_re!$B$2:$N$3636,13,FALSE),0)</f>
        <v>306</v>
      </c>
      <c r="W172" s="65" t="e">
        <f>(AJ172*0.67+AK172*0.99+AL172+AM172*0.99)/(SUM(AJ172:AM172))*T172*(F172/R172)</f>
        <v>#DIV/0!</v>
      </c>
      <c r="X172" s="65"/>
      <c r="Y172" s="65"/>
      <c r="Z172" s="79" t="s">
        <v>5330</v>
      </c>
      <c r="AA172" s="65" t="s">
        <v>5534</v>
      </c>
      <c r="AB172" s="65" t="s">
        <v>5024</v>
      </c>
      <c r="AC172" s="65" t="s">
        <v>4962</v>
      </c>
      <c r="AD172" s="65" t="s">
        <v>4963</v>
      </c>
      <c r="AE172" s="65">
        <v>5794611</v>
      </c>
      <c r="AF172" s="79" t="s">
        <v>5485</v>
      </c>
      <c r="AG172" s="79">
        <v>120173637</v>
      </c>
      <c r="AH172" s="79">
        <v>35219591</v>
      </c>
      <c r="AI172" s="79" t="s">
        <v>5479</v>
      </c>
      <c r="AJ172" s="65"/>
      <c r="AK172" s="65"/>
      <c r="AL172" s="65"/>
      <c r="AM172" s="65"/>
      <c r="AN172" s="65"/>
      <c r="AO172" s="65"/>
      <c r="AP172" s="65"/>
      <c r="AQ172" s="65"/>
      <c r="AR172" s="99"/>
      <c r="AS172" s="65"/>
      <c r="AT172" s="65"/>
      <c r="AU172" s="65"/>
      <c r="AV172" s="65"/>
      <c r="AW172" s="23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x14ac:dyDescent="0.25">
      <c r="A173" s="105">
        <v>35219097</v>
      </c>
      <c r="B173" s="106" t="s">
        <v>5464</v>
      </c>
      <c r="C173" s="79">
        <v>2</v>
      </c>
      <c r="D173" s="79" t="s">
        <v>4871</v>
      </c>
      <c r="E173" s="65">
        <v>2021203</v>
      </c>
      <c r="F173" s="79">
        <v>2.4300000000000002</v>
      </c>
      <c r="G173" s="37">
        <f>F173-K173</f>
        <v>2.4300000000000002</v>
      </c>
      <c r="H173" s="79">
        <v>2021</v>
      </c>
      <c r="I173" s="65"/>
      <c r="J173" s="65"/>
      <c r="K173" s="37">
        <f>SUM(I173:J173)</f>
        <v>0</v>
      </c>
      <c r="L173" s="21">
        <v>0</v>
      </c>
      <c r="M173" s="79" t="s">
        <v>4880</v>
      </c>
      <c r="N173" s="65">
        <v>254432104</v>
      </c>
      <c r="O173" s="65" t="s">
        <v>918</v>
      </c>
      <c r="P173" s="79" t="s">
        <v>928</v>
      </c>
      <c r="Q173" s="38">
        <f>IFERROR(VLOOKUP(P173,[47]conductor_pz_summary_hftd_23_re!$B$2:$Q$3636,8,FALSE),0)</f>
        <v>27</v>
      </c>
      <c r="R173" s="38">
        <f>IFERROR(VLOOKUP(P173,[48]conductor_pz_summary_hftd_23_re!$B$2:$H$3636,7,0),0)/1609</f>
        <v>2.4276836459869919</v>
      </c>
      <c r="S173" s="23">
        <f>IFERROR(VLOOKUP(P173,[47]conductor_pz_summary_hftd_23_re!$B$2:$Q$3636,14,FALSE),0)</f>
        <v>22</v>
      </c>
      <c r="T173" s="23">
        <f>IFERROR(U173*Q173,0)</f>
        <v>16.084829794130496</v>
      </c>
      <c r="U173" s="23">
        <f>IFERROR(VLOOKUP(P173,[47]conductor_pz_summary_hftd_23_re!$B$2:$Q$3636,13,FALSE),0)</f>
        <v>0.59573443681964799</v>
      </c>
      <c r="V173" s="79">
        <f>IFERROR(VLOOKUP(P173,conductor_pz_summary_hftd_23_re!$B$2:$N$3636,13,FALSE),0)</f>
        <v>95</v>
      </c>
      <c r="W173" s="65" t="e">
        <f>(AJ173*0.67+AK173*0.99+AL173+AM173*0.99)/(SUM(AJ173:AM173))*T173*(F173/R173)</f>
        <v>#DIV/0!</v>
      </c>
      <c r="X173" s="65"/>
      <c r="Y173" s="65"/>
      <c r="Z173" s="79" t="s">
        <v>5330</v>
      </c>
      <c r="AA173" s="101" t="s">
        <v>5513</v>
      </c>
      <c r="AB173" s="65" t="s">
        <v>5505</v>
      </c>
      <c r="AC173" s="65" t="s">
        <v>4969</v>
      </c>
      <c r="AD173" s="65" t="s">
        <v>4963</v>
      </c>
      <c r="AE173" s="65">
        <v>5794546</v>
      </c>
      <c r="AF173" s="79" t="s">
        <v>5442</v>
      </c>
      <c r="AG173" s="79">
        <v>120141762</v>
      </c>
      <c r="AH173" s="105">
        <v>35219097</v>
      </c>
      <c r="AI173" s="79" t="s">
        <v>5340</v>
      </c>
      <c r="AJ173" s="65"/>
      <c r="AK173" s="65"/>
      <c r="AL173" s="65"/>
      <c r="AM173" s="65"/>
      <c r="AN173" s="65"/>
      <c r="AO173" s="65"/>
      <c r="AP173" s="65"/>
      <c r="AQ173" s="65"/>
      <c r="AR173" s="99"/>
      <c r="AS173" s="65"/>
      <c r="AT173" s="65"/>
      <c r="AU173" s="65"/>
      <c r="AV173" s="65"/>
      <c r="AW173" s="23">
        <f>AU173+AV173</f>
        <v>0</v>
      </c>
      <c r="AX173" s="41">
        <f>AW173/5280</f>
        <v>0</v>
      </c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</row>
    <row r="174" spans="1:67" x14ac:dyDescent="0.25">
      <c r="A174" s="79">
        <v>35219266</v>
      </c>
      <c r="B174" s="133" t="s">
        <v>5464</v>
      </c>
      <c r="C174" s="79">
        <v>2</v>
      </c>
      <c r="D174" s="79" t="s">
        <v>4871</v>
      </c>
      <c r="E174" s="65">
        <v>2021209</v>
      </c>
      <c r="F174" s="79">
        <v>5.25</v>
      </c>
      <c r="G174" s="37">
        <f>F174-K174</f>
        <v>5.25</v>
      </c>
      <c r="H174" s="79">
        <v>2021</v>
      </c>
      <c r="I174" s="65"/>
      <c r="J174" s="65"/>
      <c r="K174" s="37">
        <f>SUM(I174:J174)</f>
        <v>0</v>
      </c>
      <c r="L174" s="21">
        <v>0</v>
      </c>
      <c r="M174" s="79" t="s">
        <v>4880</v>
      </c>
      <c r="N174" s="65">
        <v>254452102</v>
      </c>
      <c r="O174" s="65" t="s">
        <v>2319</v>
      </c>
      <c r="P174" s="79" t="s">
        <v>2328</v>
      </c>
      <c r="Q174" s="38">
        <f>IFERROR(VLOOKUP(P174,[47]conductor_pz_summary_hftd_23_re!$B$2:$Q$3636,8,FALSE),0)</f>
        <v>31</v>
      </c>
      <c r="R174" s="38">
        <f>IFERROR(VLOOKUP(P174,[48]conductor_pz_summary_hftd_23_re!$B$2:$H$3636,7,0),0)/1609</f>
        <v>5.253888981142623</v>
      </c>
      <c r="S174" s="23">
        <f>IFERROR(VLOOKUP(P174,[47]conductor_pz_summary_hftd_23_re!$B$2:$Q$3636,14,FALSE),0)</f>
        <v>35</v>
      </c>
      <c r="T174" s="23">
        <f>IFERROR(U174*Q174,0)</f>
        <v>14.621190514867758</v>
      </c>
      <c r="U174" s="23">
        <f>IFERROR(VLOOKUP(P174,[47]conductor_pz_summary_hftd_23_re!$B$2:$Q$3636,13,FALSE),0)</f>
        <v>0.47165130693121798</v>
      </c>
      <c r="V174" s="79">
        <f>IFERROR(VLOOKUP(P174,conductor_pz_summary_hftd_23_re!$B$2:$N$3636,13,FALSE),0)</f>
        <v>205</v>
      </c>
      <c r="W174" s="65" t="e">
        <f>(AJ174*0.67+AK174*0.99+AL174+AM174*0.99)/(SUM(AJ174:AM174))*T174*(F174/R174)</f>
        <v>#DIV/0!</v>
      </c>
      <c r="X174" s="65"/>
      <c r="Y174" s="65"/>
      <c r="Z174" s="79" t="s">
        <v>5330</v>
      </c>
      <c r="AA174" s="65" t="s">
        <v>5510</v>
      </c>
      <c r="AB174" s="65" t="s">
        <v>5474</v>
      </c>
      <c r="AC174" s="65" t="s">
        <v>4969</v>
      </c>
      <c r="AD174" s="65" t="s">
        <v>4963</v>
      </c>
      <c r="AE174" s="65">
        <v>5794552</v>
      </c>
      <c r="AF174" s="79" t="s">
        <v>5362</v>
      </c>
      <c r="AG174" s="79">
        <v>120141949</v>
      </c>
      <c r="AH174" s="79">
        <v>35219266</v>
      </c>
      <c r="AI174" s="79" t="s">
        <v>5347</v>
      </c>
      <c r="AJ174" s="65"/>
      <c r="AK174" s="65"/>
      <c r="AL174" s="65"/>
      <c r="AM174" s="65"/>
      <c r="AN174" s="135">
        <v>44196</v>
      </c>
      <c r="AO174" s="65"/>
      <c r="AP174" s="65"/>
      <c r="AQ174" s="65"/>
      <c r="AR174" s="99"/>
      <c r="AS174" s="65"/>
      <c r="AT174" s="65"/>
      <c r="AU174" s="65"/>
      <c r="AV174" s="65"/>
      <c r="AW174" s="23">
        <f>AU174+AV174</f>
        <v>0</v>
      </c>
      <c r="AX174" s="41">
        <f>AW174/5280</f>
        <v>0</v>
      </c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35219268</v>
      </c>
      <c r="B175" s="106" t="s">
        <v>5464</v>
      </c>
      <c r="C175" s="79">
        <v>2</v>
      </c>
      <c r="D175" s="79" t="s">
        <v>4871</v>
      </c>
      <c r="E175" s="65">
        <v>2021210</v>
      </c>
      <c r="F175" s="79">
        <v>4.5999999999999996</v>
      </c>
      <c r="G175" s="37">
        <f>F175-K175</f>
        <v>4.5999999999999996</v>
      </c>
      <c r="H175" s="79">
        <v>2021</v>
      </c>
      <c r="I175" s="65"/>
      <c r="J175" s="65"/>
      <c r="K175" s="37">
        <f>SUM(I175:J175)</f>
        <v>0</v>
      </c>
      <c r="L175" s="21">
        <v>0</v>
      </c>
      <c r="M175" s="79" t="s">
        <v>4880</v>
      </c>
      <c r="N175" s="65">
        <v>254452101</v>
      </c>
      <c r="O175" s="65" t="s">
        <v>2304</v>
      </c>
      <c r="P175" s="79" t="s">
        <v>2316</v>
      </c>
      <c r="Q175" s="38">
        <f>IFERROR(VLOOKUP(P175,[47]conductor_pz_summary_hftd_23_re!$B$2:$Q$3636,8,FALSE),0)</f>
        <v>40</v>
      </c>
      <c r="R175" s="38">
        <f>IFERROR(VLOOKUP(P175,[48]conductor_pz_summary_hftd_23_re!$B$2:$H$3636,7,0),0)/1609</f>
        <v>4.602897171829671</v>
      </c>
      <c r="S175" s="23">
        <f>IFERROR(VLOOKUP(P175,[47]conductor_pz_summary_hftd_23_re!$B$2:$Q$3636,14,FALSE),0)</f>
        <v>36</v>
      </c>
      <c r="T175" s="23">
        <f>IFERROR(U175*Q175,0)</f>
        <v>18.84867942931816</v>
      </c>
      <c r="U175" s="23">
        <f>IFERROR(VLOOKUP(P175,[47]conductor_pz_summary_hftd_23_re!$B$2:$Q$3636,13,FALSE),0)</f>
        <v>0.47121698573295401</v>
      </c>
      <c r="V175" s="79">
        <f>IFERROR(VLOOKUP(P175,conductor_pz_summary_hftd_23_re!$B$2:$N$3636,13,FALSE),0)</f>
        <v>66</v>
      </c>
      <c r="W175" t="e">
        <f>(AJ175*0.67+AK175*0.99+AL175+AM175*0.99)/(SUM(AJ175:AM175))*T175*(F175/R175)</f>
        <v>#DIV/0!</v>
      </c>
      <c r="X175" s="65"/>
      <c r="Y175" s="65"/>
      <c r="Z175" s="79" t="s">
        <v>5330</v>
      </c>
      <c r="AA175" s="65" t="s">
        <v>5510</v>
      </c>
      <c r="AB175" s="65" t="s">
        <v>5474</v>
      </c>
      <c r="AC175" s="65" t="s">
        <v>4969</v>
      </c>
      <c r="AD175" s="65" t="s">
        <v>4963</v>
      </c>
      <c r="AE175" s="65">
        <v>5794541</v>
      </c>
      <c r="AF175" s="79" t="s">
        <v>5448</v>
      </c>
      <c r="AG175" s="79">
        <v>120142035</v>
      </c>
      <c r="AH175" s="79">
        <v>35219268</v>
      </c>
      <c r="AI175" s="79" t="s">
        <v>5348</v>
      </c>
      <c r="AJ175" s="65"/>
      <c r="AK175" s="65"/>
      <c r="AL175" s="65"/>
      <c r="AM175" s="65"/>
      <c r="AN175" s="65"/>
      <c r="AO175" s="65"/>
      <c r="AP175" s="65"/>
      <c r="AQ175" s="65"/>
      <c r="AR175" s="99"/>
      <c r="AS175" s="65"/>
      <c r="AT175" s="65"/>
      <c r="AU175" s="65"/>
      <c r="AV175" s="65"/>
      <c r="AW175" s="23">
        <f>AU175+AV175</f>
        <v>0</v>
      </c>
      <c r="AX175" s="41">
        <f>AW175/5280</f>
        <v>0</v>
      </c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35219267</v>
      </c>
      <c r="B176" s="133" t="s">
        <v>5464</v>
      </c>
      <c r="C176" s="79">
        <v>2</v>
      </c>
      <c r="D176" s="79" t="s">
        <v>4871</v>
      </c>
      <c r="E176" s="65">
        <v>2021223</v>
      </c>
      <c r="F176" s="79">
        <v>4.2699999999999996</v>
      </c>
      <c r="G176" s="37">
        <f>F176-K176</f>
        <v>4.2699999999999996</v>
      </c>
      <c r="H176" s="79">
        <v>2021</v>
      </c>
      <c r="I176" s="65"/>
      <c r="J176" s="65"/>
      <c r="K176" s="37">
        <f>SUM(I176:J176)</f>
        <v>0</v>
      </c>
      <c r="L176" s="21">
        <v>0</v>
      </c>
      <c r="M176" s="79" t="s">
        <v>4880</v>
      </c>
      <c r="N176" s="65">
        <v>254452102</v>
      </c>
      <c r="O176" s="65" t="s">
        <v>2319</v>
      </c>
      <c r="P176" s="79" t="s">
        <v>2324</v>
      </c>
      <c r="Q176" s="38">
        <f>IFERROR(VLOOKUP(P176,[47]conductor_pz_summary_hftd_23_re!$B$2:$Q$3636,8,FALSE),0)</f>
        <v>38</v>
      </c>
      <c r="R176" s="38">
        <f>IFERROR(VLOOKUP(P176,[48]conductor_pz_summary_hftd_23_re!$B$2:$H$3636,7,0),0)/1609</f>
        <v>4.2727186258042078</v>
      </c>
      <c r="S176" s="23">
        <f>IFERROR(VLOOKUP(P176,[47]conductor_pz_summary_hftd_23_re!$B$2:$Q$3636,14,FALSE),0)</f>
        <v>50</v>
      </c>
      <c r="T176" s="23">
        <f>IFERROR(U176*Q176,0)</f>
        <v>15.978970017877412</v>
      </c>
      <c r="U176" s="23">
        <f>IFERROR(VLOOKUP(P176,[47]conductor_pz_summary_hftd_23_re!$B$2:$Q$3636,13,FALSE),0)</f>
        <v>0.42049921099677401</v>
      </c>
      <c r="V176" s="79">
        <f>IFERROR(VLOOKUP(P176,conductor_pz_summary_hftd_23_re!$B$2:$N$3636,13,FALSE),0)</f>
        <v>157</v>
      </c>
      <c r="W176" s="65" t="e">
        <f>(AJ176*0.67+AK176*0.99+AL176+AM176*0.99)/(SUM(AJ176:AM176))*T176*(F176/R176)</f>
        <v>#DIV/0!</v>
      </c>
      <c r="X176" s="65"/>
      <c r="Y176" s="65"/>
      <c r="Z176" s="79" t="s">
        <v>5330</v>
      </c>
      <c r="AA176" s="65" t="s">
        <v>5510</v>
      </c>
      <c r="AB176" s="65" t="s">
        <v>5474</v>
      </c>
      <c r="AC176" s="65" t="s">
        <v>4969</v>
      </c>
      <c r="AD176" s="65" t="s">
        <v>4963</v>
      </c>
      <c r="AE176" s="65">
        <v>5794552</v>
      </c>
      <c r="AF176" s="79" t="s">
        <v>5363</v>
      </c>
      <c r="AG176" s="79">
        <v>120142033</v>
      </c>
      <c r="AH176" s="79">
        <v>35219267</v>
      </c>
      <c r="AI176" s="79" t="s">
        <v>5472</v>
      </c>
      <c r="AJ176" s="65"/>
      <c r="AK176" s="65"/>
      <c r="AL176" s="65"/>
      <c r="AM176" s="65"/>
      <c r="AN176" s="135">
        <v>44196</v>
      </c>
      <c r="AO176" s="65"/>
      <c r="AP176" s="65"/>
      <c r="AQ176" s="65"/>
      <c r="AR176" s="99"/>
      <c r="AS176" s="65"/>
      <c r="AT176" s="65"/>
      <c r="AU176" s="65"/>
      <c r="AV176" s="65"/>
      <c r="AW176" s="23">
        <f>AU176+AV176</f>
        <v>0</v>
      </c>
      <c r="AX176" s="41">
        <f>AW176/5280</f>
        <v>0</v>
      </c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35219587</v>
      </c>
      <c r="B177" s="133" t="s">
        <v>5464</v>
      </c>
      <c r="C177" s="79">
        <v>2</v>
      </c>
      <c r="D177" s="79" t="s">
        <v>4871</v>
      </c>
      <c r="E177" s="65">
        <v>2021224</v>
      </c>
      <c r="F177" s="79">
        <v>2.1549999999999998</v>
      </c>
      <c r="G177" s="104">
        <f>F177-K177</f>
        <v>2.1549999999999998</v>
      </c>
      <c r="H177" s="79">
        <v>2021</v>
      </c>
      <c r="I177" s="65"/>
      <c r="J177" s="65"/>
      <c r="K177" s="37">
        <f>SUM(I177:J177)</f>
        <v>0</v>
      </c>
      <c r="L177" s="21">
        <v>0</v>
      </c>
      <c r="M177" s="79" t="s">
        <v>4880</v>
      </c>
      <c r="N177" s="65">
        <v>254452102</v>
      </c>
      <c r="O177" s="65" t="s">
        <v>2319</v>
      </c>
      <c r="P177" s="79" t="s">
        <v>2324</v>
      </c>
      <c r="Q177" s="38">
        <f>IFERROR(VLOOKUP(P177,[47]conductor_pz_summary_hftd_23_re!$B$2:$Q$3636,8,FALSE),0)</f>
        <v>38</v>
      </c>
      <c r="R177" s="38">
        <f>IFERROR(VLOOKUP(P177,[48]conductor_pz_summary_hftd_23_re!$B$2:$H$3636,7,0),0)/1609</f>
        <v>4.2727186258042078</v>
      </c>
      <c r="S177" s="23">
        <f>IFERROR(VLOOKUP(P177,[47]conductor_pz_summary_hftd_23_re!$B$2:$Q$3636,14,FALSE),0)</f>
        <v>50</v>
      </c>
      <c r="T177" s="23">
        <f>IFERROR(U177*Q177,0)</f>
        <v>15.978970017877412</v>
      </c>
      <c r="U177" s="23">
        <f>IFERROR(VLOOKUP(P177,[47]conductor_pz_summary_hftd_23_re!$B$2:$Q$3636,13,FALSE),0)</f>
        <v>0.42049921099677401</v>
      </c>
      <c r="V177" s="79">
        <f>IFERROR(VLOOKUP(P177,conductor_pz_summary_hftd_23_re!$B$2:$N$3636,13,FALSE),0)</f>
        <v>157</v>
      </c>
      <c r="W177" s="65" t="e">
        <f>(AJ177*0.67+AK177*0.99+AL177+AM177*0.99)/(SUM(AJ177:AM177))*T177*(F177/R177)</f>
        <v>#DIV/0!</v>
      </c>
      <c r="X177" s="65"/>
      <c r="Y177" s="65"/>
      <c r="Z177" s="79" t="s">
        <v>5330</v>
      </c>
      <c r="AA177" s="65" t="s">
        <v>5510</v>
      </c>
      <c r="AB177" s="65" t="s">
        <v>5474</v>
      </c>
      <c r="AC177" s="65" t="s">
        <v>4969</v>
      </c>
      <c r="AD177" s="65" t="s">
        <v>4963</v>
      </c>
      <c r="AE177" s="65">
        <v>5794552</v>
      </c>
      <c r="AF177" s="79" t="s">
        <v>5481</v>
      </c>
      <c r="AG177" s="79">
        <v>120165147</v>
      </c>
      <c r="AH177" s="79">
        <v>35219587</v>
      </c>
      <c r="AI177" s="79" t="s">
        <v>5489</v>
      </c>
      <c r="AJ177" s="65"/>
      <c r="AK177" s="65"/>
      <c r="AL177" s="65"/>
      <c r="AM177" s="65"/>
      <c r="AN177" s="135">
        <v>44196</v>
      </c>
      <c r="AO177" s="65"/>
      <c r="AP177" s="65"/>
      <c r="AQ177" s="65"/>
      <c r="AR177" s="99"/>
      <c r="AS177" s="65"/>
      <c r="AT177" s="65"/>
      <c r="AU177" s="65"/>
      <c r="AV177" s="65"/>
      <c r="AW177" s="23"/>
      <c r="AX177" s="41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x14ac:dyDescent="0.25">
      <c r="A178" s="79">
        <v>35219588</v>
      </c>
      <c r="B178" s="133" t="s">
        <v>5464</v>
      </c>
      <c r="C178" s="79">
        <v>2</v>
      </c>
      <c r="D178" s="79" t="s">
        <v>4871</v>
      </c>
      <c r="E178" s="65">
        <v>2021225</v>
      </c>
      <c r="F178" s="79">
        <v>2.1549999999999998</v>
      </c>
      <c r="G178" s="104">
        <f>F178-K178</f>
        <v>2.1549999999999998</v>
      </c>
      <c r="H178" s="79">
        <v>2021</v>
      </c>
      <c r="I178" s="65"/>
      <c r="J178" s="65"/>
      <c r="K178" s="37">
        <f>SUM(I178:J178)</f>
        <v>0</v>
      </c>
      <c r="L178" s="21">
        <v>0</v>
      </c>
      <c r="M178" s="79" t="s">
        <v>4880</v>
      </c>
      <c r="N178" s="65">
        <v>254452102</v>
      </c>
      <c r="O178" s="65" t="s">
        <v>2319</v>
      </c>
      <c r="P178" s="79" t="s">
        <v>2324</v>
      </c>
      <c r="Q178" s="38">
        <f>IFERROR(VLOOKUP(P178,[47]conductor_pz_summary_hftd_23_re!$B$2:$Q$3636,8,FALSE),0)</f>
        <v>38</v>
      </c>
      <c r="R178" s="38">
        <f>IFERROR(VLOOKUP(P178,[48]conductor_pz_summary_hftd_23_re!$B$2:$H$3636,7,0),0)/1609</f>
        <v>4.2727186258042078</v>
      </c>
      <c r="S178" s="23">
        <f>IFERROR(VLOOKUP(P178,[47]conductor_pz_summary_hftd_23_re!$B$2:$Q$3636,14,FALSE),0)</f>
        <v>50</v>
      </c>
      <c r="T178" s="23">
        <f>IFERROR(U178*Q178,0)</f>
        <v>15.978970017877412</v>
      </c>
      <c r="U178" s="23">
        <f>IFERROR(VLOOKUP(P178,[47]conductor_pz_summary_hftd_23_re!$B$2:$Q$3636,13,FALSE),0)</f>
        <v>0.42049921099677401</v>
      </c>
      <c r="V178" s="79">
        <f>IFERROR(VLOOKUP(P178,conductor_pz_summary_hftd_23_re!$B$2:$N$3636,13,FALSE),0)</f>
        <v>157</v>
      </c>
      <c r="W178" s="65" t="e">
        <f>(AJ178*0.67+AK178*0.99+AL178+AM178*0.99)/(SUM(AJ178:AM178))*T178*(F178/R178)</f>
        <v>#DIV/0!</v>
      </c>
      <c r="X178" s="65"/>
      <c r="Y178" s="65"/>
      <c r="Z178" s="79" t="s">
        <v>5330</v>
      </c>
      <c r="AA178" s="65" t="s">
        <v>5510</v>
      </c>
      <c r="AB178" s="65" t="s">
        <v>5474</v>
      </c>
      <c r="AC178" s="65" t="s">
        <v>4969</v>
      </c>
      <c r="AD178" s="65" t="s">
        <v>4963</v>
      </c>
      <c r="AE178" s="65">
        <v>5794552</v>
      </c>
      <c r="AF178" s="79" t="s">
        <v>5482</v>
      </c>
      <c r="AG178" s="79">
        <v>120165148</v>
      </c>
      <c r="AH178" s="79">
        <v>35219588</v>
      </c>
      <c r="AI178" s="79" t="s">
        <v>5488</v>
      </c>
      <c r="AJ178" s="65"/>
      <c r="AK178" s="65"/>
      <c r="AL178" s="65"/>
      <c r="AM178" s="65"/>
      <c r="AN178" s="135">
        <v>44196</v>
      </c>
      <c r="AO178" s="65"/>
      <c r="AP178" s="65"/>
      <c r="AQ178" s="65"/>
      <c r="AR178" s="99"/>
      <c r="AS178" s="65"/>
      <c r="AT178" s="65"/>
      <c r="AU178" s="65"/>
      <c r="AV178" s="65"/>
      <c r="AW178" s="23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</row>
    <row r="179" spans="1:67" x14ac:dyDescent="0.25">
      <c r="A179" s="59">
        <v>31361965</v>
      </c>
      <c r="B179" s="55" t="s">
        <v>5569</v>
      </c>
      <c r="C179" s="23"/>
      <c r="D179" s="23" t="s">
        <v>5568</v>
      </c>
      <c r="E179" s="19">
        <v>2021777</v>
      </c>
      <c r="F179" s="23">
        <v>0.45</v>
      </c>
      <c r="G179" s="37">
        <f>F179-K179</f>
        <v>0.45</v>
      </c>
      <c r="H179" s="20">
        <v>2021</v>
      </c>
      <c r="I179" s="37"/>
      <c r="J179" s="37"/>
      <c r="K179" s="23"/>
      <c r="L179" s="21">
        <v>130197.7</v>
      </c>
      <c r="M179" s="23" t="s">
        <v>4966</v>
      </c>
      <c r="N179" s="22">
        <v>43071101</v>
      </c>
      <c r="O179" s="19" t="s">
        <v>1190</v>
      </c>
      <c r="P179" s="23" t="s">
        <v>1196</v>
      </c>
      <c r="Q179" s="38">
        <f>IFERROR(VLOOKUP(P179,[47]conductor_pz_summary_hftd_23_re!$B$2:$Q$3636,8,FALSE),0)</f>
        <v>68</v>
      </c>
      <c r="R179" s="38">
        <f>IFERROR(VLOOKUP(P179,[48]conductor_pz_summary_hftd_23_re!$B$2:$H$3636,7,0),0)/1609</f>
        <v>6.5106530793033555</v>
      </c>
      <c r="S179" s="23">
        <f>IFERROR(VLOOKUP(P179,[47]conductor_pz_summary_hftd_23_re!$B$2:$Q$3636,14,FALSE),0)</f>
        <v>1794</v>
      </c>
      <c r="T179" s="23">
        <f>IFERROR(U179*Q179,0)</f>
        <v>0.99704213549559795</v>
      </c>
      <c r="U179" s="23">
        <f>IFERROR(VLOOKUP(P179,[47]conductor_pz_summary_hftd_23_re!$B$2:$Q$3636,13,FALSE),0)</f>
        <v>1.4662384345523499E-2</v>
      </c>
      <c r="V179" s="79">
        <f>IFERROR(VLOOKUP(P179,conductor_pz_summary_hftd_23_re!$B$2:$N$3636,13,FALSE),0)</f>
        <v>1845</v>
      </c>
      <c r="W179" s="65">
        <f>(AJ179*0.67+AK179*0.99+AL179+AM179*0.99)/(SUM(AJ179:AM179))*T179*(F179/R179)</f>
        <v>6.8223919467510122E-2</v>
      </c>
      <c r="X179" s="23">
        <v>1151</v>
      </c>
      <c r="Y179" s="23" t="s">
        <v>4873</v>
      </c>
      <c r="Z179" s="23" t="s">
        <v>4913</v>
      </c>
      <c r="AA179" s="19" t="s">
        <v>5237</v>
      </c>
      <c r="AB179" s="19" t="s">
        <v>4945</v>
      </c>
      <c r="AC179" s="19" t="s">
        <v>4945</v>
      </c>
      <c r="AD179" s="19" t="s">
        <v>4877</v>
      </c>
      <c r="AE179" s="23">
        <v>5530175</v>
      </c>
      <c r="AF179" s="23"/>
      <c r="AG179" s="23">
        <v>113751296</v>
      </c>
      <c r="AH179" s="59">
        <v>31361965</v>
      </c>
      <c r="AI179" s="23" t="s">
        <v>5459</v>
      </c>
      <c r="AJ179" s="23"/>
      <c r="AK179" s="23">
        <v>2367</v>
      </c>
      <c r="AL179" s="23">
        <v>0</v>
      </c>
      <c r="AM179" s="23">
        <v>0</v>
      </c>
      <c r="AN179" s="23">
        <v>0</v>
      </c>
      <c r="AO179" s="58" t="s">
        <v>5460</v>
      </c>
      <c r="AP179" s="23">
        <v>2300</v>
      </c>
      <c r="AQ179" s="41">
        <f>AP179/5280</f>
        <v>0.43560606060606061</v>
      </c>
      <c r="AR179" s="42">
        <v>345000</v>
      </c>
      <c r="AS179" s="23" t="s">
        <v>5013</v>
      </c>
      <c r="AT179" s="19"/>
      <c r="AU179" s="19"/>
      <c r="AV179" s="19"/>
      <c r="AW179" s="23">
        <f>SUM(AT179:AV179)</f>
        <v>0</v>
      </c>
      <c r="AX179" s="23">
        <f>SUM(AU179:AW179)</f>
        <v>0</v>
      </c>
      <c r="AY179" s="41">
        <f>AX179/5280</f>
        <v>0</v>
      </c>
      <c r="AZ179" s="58" t="s">
        <v>5461</v>
      </c>
      <c r="BA179" s="58" t="s">
        <v>5462</v>
      </c>
      <c r="BB179" s="23">
        <v>0</v>
      </c>
      <c r="BC179" s="23">
        <v>0</v>
      </c>
      <c r="BD179" s="23">
        <v>2367</v>
      </c>
      <c r="BE179" s="23">
        <v>2367</v>
      </c>
      <c r="BF179" s="41">
        <f>BE179/5280</f>
        <v>0.44829545454545455</v>
      </c>
      <c r="BG179" s="45">
        <v>797947</v>
      </c>
      <c r="BH179" s="42">
        <v>1245293</v>
      </c>
      <c r="BI179" s="46">
        <f>BG179/BE179</f>
        <v>337.11322348964933</v>
      </c>
      <c r="BJ179" s="19"/>
      <c r="BK179" s="19"/>
      <c r="BL179" s="19"/>
      <c r="BM179" s="19"/>
      <c r="BN179" s="19"/>
      <c r="BO179" s="19"/>
    </row>
    <row r="180" spans="1:67" s="65" customFormat="1" x14ac:dyDescent="0.25">
      <c r="A180" s="59">
        <v>35098621</v>
      </c>
      <c r="B180" s="109" t="s">
        <v>5572</v>
      </c>
      <c r="C180" s="23"/>
      <c r="D180" s="23" t="s">
        <v>5573</v>
      </c>
      <c r="E180" s="110"/>
      <c r="F180" s="23">
        <v>1.07</v>
      </c>
      <c r="G180" s="37">
        <f>F180-K180</f>
        <v>0</v>
      </c>
      <c r="H180" s="20">
        <v>2020</v>
      </c>
      <c r="I180" s="37">
        <v>1.07</v>
      </c>
      <c r="J180" s="37"/>
      <c r="K180" s="37">
        <f>SUM(I180:J180)</f>
        <v>1.07</v>
      </c>
      <c r="L180" s="21">
        <v>1372204.3</v>
      </c>
      <c r="M180" s="23" t="s">
        <v>5571</v>
      </c>
      <c r="N180" s="22">
        <v>152471101</v>
      </c>
      <c r="O180" s="19" t="s">
        <v>932</v>
      </c>
      <c r="P180" s="23" t="s">
        <v>931</v>
      </c>
      <c r="Q180" s="38">
        <f>IFERROR(VLOOKUP(P180,[47]conductor_pz_summary_hftd_23_re!$B$2:$Q$3636,8,FALSE),0)</f>
        <v>76</v>
      </c>
      <c r="R180" s="38">
        <f>IFERROR(VLOOKUP(P180,[48]conductor_pz_summary_hftd_23_re!$B$2:$H$3636,7,0),0)/1609</f>
        <v>9.1336080573515233</v>
      </c>
      <c r="S180" s="23">
        <f>IFERROR(VLOOKUP(P180,[47]conductor_pz_summary_hftd_23_re!$B$2:$Q$3636,14,FALSE),0)</f>
        <v>606</v>
      </c>
      <c r="T180" s="23">
        <f>IFERROR(U180*Q180,0)</f>
        <v>9.8207301508378553</v>
      </c>
      <c r="U180" s="23">
        <f>IFERROR(VLOOKUP(P180,[47]conductor_pz_summary_hftd_23_re!$B$2:$Q$3636,13,FALSE),0)</f>
        <v>0.129220133563656</v>
      </c>
      <c r="V180" s="79">
        <f>IFERROR(VLOOKUP(P180,conductor_pz_summary_hftd_23_re!$B$2:$N$3636,13,FALSE),0)</f>
        <v>1358</v>
      </c>
      <c r="W180" s="65">
        <f>(AJ180*0.67+AK180*0.99+AL180+AM180*0.99)/(SUM(AJ180:AM180))*T180*(F180/R180)</f>
        <v>1.0162498824973676</v>
      </c>
      <c r="X180" s="23">
        <v>198</v>
      </c>
      <c r="Y180" s="23" t="s">
        <v>4873</v>
      </c>
      <c r="Z180" s="23" t="s">
        <v>4888</v>
      </c>
      <c r="AA180" s="19" t="s">
        <v>5016</v>
      </c>
      <c r="AB180" s="19" t="s">
        <v>4941</v>
      </c>
      <c r="AC180" s="19" t="s">
        <v>4891</v>
      </c>
      <c r="AD180" s="19" t="s">
        <v>4877</v>
      </c>
      <c r="AE180" s="23">
        <v>5785303</v>
      </c>
      <c r="AF180" s="23" t="s">
        <v>5017</v>
      </c>
      <c r="AG180" s="23">
        <v>117177530</v>
      </c>
      <c r="AH180" s="59">
        <v>35098621</v>
      </c>
      <c r="AI180" s="23" t="s">
        <v>5018</v>
      </c>
      <c r="AJ180" s="23">
        <v>1881</v>
      </c>
      <c r="AK180" s="23">
        <v>3761</v>
      </c>
      <c r="AL180" s="23">
        <v>0</v>
      </c>
      <c r="AM180" s="23">
        <v>0</v>
      </c>
      <c r="AN180" s="19"/>
      <c r="AO180" s="60" t="s">
        <v>5019</v>
      </c>
      <c r="AP180" s="23">
        <v>9820.8000000000011</v>
      </c>
      <c r="AQ180" s="41">
        <v>1.86</v>
      </c>
      <c r="AR180" s="42">
        <v>1975040</v>
      </c>
      <c r="AS180" s="60" t="s">
        <v>5020</v>
      </c>
      <c r="AT180" s="19">
        <v>0</v>
      </c>
      <c r="AU180" s="19">
        <v>0</v>
      </c>
      <c r="AV180" s="19">
        <v>5649.6</v>
      </c>
      <c r="AW180" s="23">
        <f>SUM(AT180:AV180)</f>
        <v>5649.6</v>
      </c>
      <c r="AX180" s="41">
        <f>AW180/5280</f>
        <v>1.07</v>
      </c>
      <c r="AY180" s="44">
        <v>2054400.0000000002</v>
      </c>
      <c r="AZ180" s="58" t="s">
        <v>5021</v>
      </c>
      <c r="BA180" s="58" t="s">
        <v>5022</v>
      </c>
      <c r="BB180" s="23">
        <v>0</v>
      </c>
      <c r="BC180" s="23">
        <v>3761</v>
      </c>
      <c r="BD180" s="23">
        <v>1881</v>
      </c>
      <c r="BE180" s="23">
        <v>5642</v>
      </c>
      <c r="BF180" s="41">
        <v>1.0685606060606061</v>
      </c>
      <c r="BG180" s="45">
        <v>2185500</v>
      </c>
      <c r="BH180" s="42">
        <v>2927538</v>
      </c>
      <c r="BI180" s="46">
        <v>387.36263736263737</v>
      </c>
      <c r="BJ180" s="19"/>
      <c r="BK180" s="19"/>
      <c r="BL180" s="19"/>
      <c r="BM180" s="19"/>
      <c r="BN180" s="19"/>
      <c r="BO180" s="19"/>
    </row>
    <row r="181" spans="1:67" s="65" customFormat="1" x14ac:dyDescent="0.25">
      <c r="A181" s="55">
        <v>35145001</v>
      </c>
      <c r="B181" s="36" t="s">
        <v>5567</v>
      </c>
      <c r="C181" s="23"/>
      <c r="D181" s="23" t="s">
        <v>5568</v>
      </c>
      <c r="E181" s="19"/>
      <c r="F181" s="37">
        <v>1.6</v>
      </c>
      <c r="G181" s="37">
        <f>F181-K181</f>
        <v>1.6</v>
      </c>
      <c r="H181" s="20">
        <v>2021</v>
      </c>
      <c r="I181" s="37"/>
      <c r="J181" s="37"/>
      <c r="K181" s="23"/>
      <c r="L181" s="21">
        <v>146558.54999999999</v>
      </c>
      <c r="M181" s="23" t="s">
        <v>5135</v>
      </c>
      <c r="N181" s="22">
        <v>12022215</v>
      </c>
      <c r="O181" s="19" t="s">
        <v>858</v>
      </c>
      <c r="P181" s="23" t="s">
        <v>857</v>
      </c>
      <c r="Q181" s="38">
        <f>IFERROR(VLOOKUP(P181,[47]conductor_pz_summary_hftd_23_re!$B$2:$Q$3636,8,FALSE),0)</f>
        <v>106</v>
      </c>
      <c r="R181" s="38">
        <f>IFERROR(VLOOKUP(P181,[48]conductor_pz_summary_hftd_23_re!$B$2:$H$3636,7,0),0)/1609</f>
        <v>2.0890566730285953</v>
      </c>
      <c r="S181" s="23">
        <f>IFERROR(VLOOKUP(P181,[47]conductor_pz_summary_hftd_23_re!$B$2:$Q$3636,14,FALSE),0)</f>
        <v>1739</v>
      </c>
      <c r="T181" s="23">
        <f>IFERROR(U181*Q181,0)</f>
        <v>1.7951073585415118</v>
      </c>
      <c r="U181" s="23">
        <f>IFERROR(VLOOKUP(P181,[47]conductor_pz_summary_hftd_23_re!$B$2:$Q$3636,13,FALSE),0)</f>
        <v>1.6934975080580301E-2</v>
      </c>
      <c r="V181" s="79">
        <f>IFERROR(VLOOKUP(P181,conductor_pz_summary_hftd_23_re!$B$2:$N$3636,13,FALSE),0)</f>
        <v>1716</v>
      </c>
      <c r="W181" s="65">
        <f>(AJ181*0.67+AK181*0.99+AL181+AM181*0.99)/(SUM(AJ181:AM181))*T181*(F181/R181)</f>
        <v>1.3511929221161603</v>
      </c>
      <c r="X181" s="23">
        <v>1165</v>
      </c>
      <c r="Y181" s="23" t="s">
        <v>4873</v>
      </c>
      <c r="Z181" s="23" t="s">
        <v>5134</v>
      </c>
      <c r="AA181" s="19" t="s">
        <v>4916</v>
      </c>
      <c r="AB181" s="19" t="s">
        <v>5146</v>
      </c>
      <c r="AC181" s="19" t="s">
        <v>4918</v>
      </c>
      <c r="AD181" s="19" t="s">
        <v>4903</v>
      </c>
      <c r="AE181" s="23">
        <v>5788778</v>
      </c>
      <c r="AF181" s="23" t="s">
        <v>5147</v>
      </c>
      <c r="AG181" s="23">
        <v>118259181</v>
      </c>
      <c r="AH181" s="55">
        <v>35145001</v>
      </c>
      <c r="AI181" s="23" t="s">
        <v>5148</v>
      </c>
      <c r="AJ181" s="23">
        <v>475.2</v>
      </c>
      <c r="AK181" s="23">
        <v>20592</v>
      </c>
      <c r="AL181" s="23">
        <v>0</v>
      </c>
      <c r="AM181" s="23">
        <v>0</v>
      </c>
      <c r="AN181" s="19"/>
      <c r="AO181" s="63" t="s">
        <v>5149</v>
      </c>
      <c r="AP181" s="23">
        <v>11616.000000000002</v>
      </c>
      <c r="AQ181" s="41">
        <v>2.2000000000000002</v>
      </c>
      <c r="AR181" s="42">
        <v>19530000</v>
      </c>
      <c r="AS181" s="23" t="s">
        <v>5013</v>
      </c>
      <c r="AT181" s="19">
        <v>0</v>
      </c>
      <c r="AU181" s="19">
        <v>20592</v>
      </c>
      <c r="AV181" s="19">
        <v>475.2</v>
      </c>
      <c r="AW181" s="23">
        <f>AU181+AV181</f>
        <v>21067.200000000001</v>
      </c>
      <c r="AX181" s="41">
        <f>AW181/5280</f>
        <v>3.99</v>
      </c>
      <c r="AY181" s="44">
        <v>16758000</v>
      </c>
      <c r="AZ181" s="79"/>
      <c r="BA181" s="79"/>
      <c r="BB181" s="23"/>
      <c r="BC181" s="23"/>
      <c r="BD181" s="23"/>
      <c r="BE181" s="23"/>
      <c r="BF181" s="41"/>
      <c r="BG181" s="45"/>
      <c r="BH181" s="42"/>
      <c r="BI181" s="46"/>
      <c r="BJ181" s="19"/>
      <c r="BK181" s="19"/>
      <c r="BL181" s="19"/>
      <c r="BM181" s="19"/>
      <c r="BN181" s="19"/>
      <c r="BO181" s="19"/>
    </row>
    <row r="182" spans="1:67" s="65" customFormat="1" x14ac:dyDescent="0.25">
      <c r="A182" s="55">
        <v>35144944</v>
      </c>
      <c r="B182" s="36" t="s">
        <v>5567</v>
      </c>
      <c r="C182" s="23"/>
      <c r="D182" s="23" t="s">
        <v>5568</v>
      </c>
      <c r="E182" s="19"/>
      <c r="F182" s="37">
        <v>0.26</v>
      </c>
      <c r="G182" s="37">
        <f>F182-K182</f>
        <v>0.26</v>
      </c>
      <c r="H182" s="20">
        <v>2021</v>
      </c>
      <c r="I182" s="37"/>
      <c r="J182" s="37"/>
      <c r="K182" s="23"/>
      <c r="L182" s="21">
        <v>118187.81</v>
      </c>
      <c r="M182" s="23" t="s">
        <v>5135</v>
      </c>
      <c r="N182" s="22">
        <v>22721107</v>
      </c>
      <c r="O182" s="19" t="s">
        <v>4106</v>
      </c>
      <c r="P182" s="23" t="s">
        <v>4109</v>
      </c>
      <c r="Q182" s="38">
        <f>IFERROR(VLOOKUP(P182,[47]conductor_pz_summary_hftd_23_re!$B$2:$Q$3636,8,FALSE),0)</f>
        <v>45</v>
      </c>
      <c r="R182" s="38">
        <f>IFERROR(VLOOKUP(P182,[48]conductor_pz_summary_hftd_23_re!$B$2:$H$3636,7,0),0)/1609</f>
        <v>1.0037640759405717</v>
      </c>
      <c r="S182" s="23">
        <f>IFERROR(VLOOKUP(P182,[47]conductor_pz_summary_hftd_23_re!$B$2:$Q$3636,14,FALSE),0)</f>
        <v>2336</v>
      </c>
      <c r="T182" s="23">
        <f>IFERROR(U182*Q182,0)</f>
        <v>0.14044579007855446</v>
      </c>
      <c r="U182" s="23">
        <f>IFERROR(VLOOKUP(P182,[47]conductor_pz_summary_hftd_23_re!$B$2:$Q$3636,13,FALSE),0)</f>
        <v>3.1210175573012102E-3</v>
      </c>
      <c r="V182" s="79">
        <f>IFERROR(VLOOKUP(P182,conductor_pz_summary_hftd_23_re!$B$2:$N$3636,13,FALSE),0)</f>
        <v>2144</v>
      </c>
      <c r="W182" s="65">
        <f>(AJ182*0.67+AK182*0.99+AL182+AM182*0.99)/(SUM(AJ182:AM182))*T182*(F182/R182)</f>
        <v>3.6015182484335329E-2</v>
      </c>
      <c r="X182" s="23">
        <v>2845</v>
      </c>
      <c r="Y182" s="23" t="s">
        <v>4873</v>
      </c>
      <c r="Z182" s="23" t="s">
        <v>5134</v>
      </c>
      <c r="AA182" s="19" t="s">
        <v>5155</v>
      </c>
      <c r="AB182" s="19" t="s">
        <v>5156</v>
      </c>
      <c r="AC182" s="19" t="s">
        <v>5157</v>
      </c>
      <c r="AD182" s="19" t="s">
        <v>5039</v>
      </c>
      <c r="AE182" s="23">
        <v>5530170</v>
      </c>
      <c r="AF182" s="23"/>
      <c r="AG182" s="23">
        <v>118261958</v>
      </c>
      <c r="AH182" s="55">
        <v>35144944</v>
      </c>
      <c r="AI182" s="23" t="s">
        <v>5158</v>
      </c>
      <c r="AJ182" s="23">
        <v>0</v>
      </c>
      <c r="AK182" s="23">
        <v>739.2</v>
      </c>
      <c r="AL182" s="23">
        <v>0</v>
      </c>
      <c r="AM182" s="23">
        <v>0</v>
      </c>
      <c r="AN182" s="19"/>
      <c r="AO182" s="63" t="s">
        <v>5159</v>
      </c>
      <c r="AP182" s="23">
        <v>739.2</v>
      </c>
      <c r="AQ182" s="41">
        <v>0.14000000000000001</v>
      </c>
      <c r="AR182" s="42">
        <v>738936</v>
      </c>
      <c r="AS182" s="23" t="s">
        <v>5013</v>
      </c>
      <c r="AT182" s="19">
        <v>0</v>
      </c>
      <c r="AU182" s="19">
        <v>739.2</v>
      </c>
      <c r="AV182" s="19">
        <v>0</v>
      </c>
      <c r="AW182" s="23">
        <f>AU182+AV182</f>
        <v>739.2</v>
      </c>
      <c r="AX182" s="41">
        <f>AW182/5280</f>
        <v>0.14000000000000001</v>
      </c>
      <c r="AY182" s="44">
        <v>588000</v>
      </c>
      <c r="AZ182" s="58" t="s">
        <v>5160</v>
      </c>
      <c r="BA182" s="23"/>
      <c r="BB182" s="23"/>
      <c r="BC182" s="23"/>
      <c r="BD182" s="23"/>
      <c r="BE182" s="23"/>
      <c r="BF182" s="41"/>
      <c r="BG182" s="45"/>
      <c r="BH182" s="42"/>
      <c r="BI182" s="46"/>
      <c r="BJ182" s="19"/>
      <c r="BK182" s="19"/>
      <c r="BL182" s="19"/>
      <c r="BM182" s="19"/>
      <c r="BN182" s="19"/>
      <c r="BO182" s="19"/>
    </row>
    <row r="183" spans="1:67" s="65" customFormat="1" x14ac:dyDescent="0.25">
      <c r="A183" s="55">
        <v>35145002</v>
      </c>
      <c r="B183" s="36" t="s">
        <v>5567</v>
      </c>
      <c r="C183" s="23"/>
      <c r="D183" s="23" t="s">
        <v>5568</v>
      </c>
      <c r="E183" s="19"/>
      <c r="F183" s="37">
        <v>0.68</v>
      </c>
      <c r="G183" s="37">
        <f>F183-K183</f>
        <v>0.68</v>
      </c>
      <c r="H183" s="20">
        <v>2021</v>
      </c>
      <c r="I183" s="37"/>
      <c r="J183" s="37"/>
      <c r="K183" s="23"/>
      <c r="L183" s="21">
        <v>115275.8</v>
      </c>
      <c r="M183" s="23" t="s">
        <v>5161</v>
      </c>
      <c r="N183" s="22">
        <v>42481101</v>
      </c>
      <c r="O183" s="19" t="s">
        <v>1950</v>
      </c>
      <c r="P183" s="23" t="s">
        <v>1953</v>
      </c>
      <c r="Q183" s="38">
        <f>IFERROR(VLOOKUP(P183,[47]conductor_pz_summary_hftd_23_re!$B$2:$Q$3636,8,FALSE),0)</f>
        <v>19</v>
      </c>
      <c r="R183" s="38">
        <f>IFERROR(VLOOKUP(P183,[48]conductor_pz_summary_hftd_23_re!$B$2:$H$3636,7,0),0)/1609</f>
        <v>1.6721950997086015</v>
      </c>
      <c r="S183" s="23">
        <f>IFERROR(VLOOKUP(P183,[47]conductor_pz_summary_hftd_23_re!$B$2:$Q$3636,14,FALSE),0)</f>
        <v>2448</v>
      </c>
      <c r="T183" s="23">
        <f>IFERROR(U183*Q183,0)</f>
        <v>4.2330898779185631E-2</v>
      </c>
      <c r="U183" s="23">
        <f>IFERROR(VLOOKUP(P183,[47]conductor_pz_summary_hftd_23_re!$B$2:$Q$3636,13,FALSE),0)</f>
        <v>2.2279420410097699E-3</v>
      </c>
      <c r="V183" s="79">
        <f>IFERROR(VLOOKUP(P183,conductor_pz_summary_hftd_23_re!$B$2:$N$3636,13,FALSE),0)</f>
        <v>2447</v>
      </c>
      <c r="W183" s="65">
        <f>(AJ183*0.67+AK183*0.99+AL183+AM183*0.99)/(SUM(AJ183:AM183))*T183*(F183/R183)</f>
        <v>1.7041768070671728E-2</v>
      </c>
      <c r="X183" s="23">
        <v>2421</v>
      </c>
      <c r="Y183" s="23" t="s">
        <v>4873</v>
      </c>
      <c r="Z183" s="23" t="s">
        <v>5134</v>
      </c>
      <c r="AA183" s="19" t="s">
        <v>5162</v>
      </c>
      <c r="AB183" s="19" t="s">
        <v>5163</v>
      </c>
      <c r="AC183" s="19" t="s">
        <v>5164</v>
      </c>
      <c r="AD183" s="19" t="s">
        <v>4903</v>
      </c>
      <c r="AE183" s="23">
        <v>5788780</v>
      </c>
      <c r="AF183" s="23" t="s">
        <v>5165</v>
      </c>
      <c r="AG183" s="23">
        <v>118262844</v>
      </c>
      <c r="AH183" s="55">
        <v>35145002</v>
      </c>
      <c r="AI183" s="23" t="s">
        <v>5166</v>
      </c>
      <c r="AJ183" s="23">
        <v>0</v>
      </c>
      <c r="AK183" s="23">
        <v>3590.4</v>
      </c>
      <c r="AL183" s="23">
        <v>0</v>
      </c>
      <c r="AM183" s="23">
        <v>0</v>
      </c>
      <c r="AN183" s="19"/>
      <c r="AO183" s="60" t="s">
        <v>5167</v>
      </c>
      <c r="AP183" s="23">
        <v>3585.1200000000003</v>
      </c>
      <c r="AQ183" s="41">
        <v>0.67900000000000005</v>
      </c>
      <c r="AR183" s="42">
        <v>2194800</v>
      </c>
      <c r="AS183" s="23" t="s">
        <v>5013</v>
      </c>
      <c r="AT183" s="19">
        <v>0</v>
      </c>
      <c r="AU183" s="19">
        <v>3590.4</v>
      </c>
      <c r="AV183" s="19">
        <v>0</v>
      </c>
      <c r="AW183" s="23">
        <f>AU183+AV183</f>
        <v>3590.4</v>
      </c>
      <c r="AX183" s="41">
        <f>AW183/5280</f>
        <v>0.68</v>
      </c>
      <c r="AY183" s="44">
        <v>2856000</v>
      </c>
      <c r="AZ183" s="23"/>
      <c r="BA183" s="23"/>
      <c r="BB183" s="23"/>
      <c r="BC183" s="23"/>
      <c r="BD183" s="23"/>
      <c r="BE183" s="23"/>
      <c r="BF183" s="41"/>
      <c r="BG183" s="45"/>
      <c r="BH183" s="42"/>
      <c r="BI183" s="46"/>
      <c r="BJ183" s="19"/>
      <c r="BK183" s="19"/>
      <c r="BL183" s="19"/>
      <c r="BM183" s="19"/>
      <c r="BN183" s="19"/>
      <c r="BO183" s="19"/>
    </row>
    <row r="184" spans="1:67" s="65" customFormat="1" x14ac:dyDescent="0.25">
      <c r="A184" s="55">
        <v>35145003</v>
      </c>
      <c r="B184" s="36" t="s">
        <v>5567</v>
      </c>
      <c r="C184" s="23"/>
      <c r="D184" s="23" t="s">
        <v>5568</v>
      </c>
      <c r="E184" s="19"/>
      <c r="F184" s="37">
        <v>0.28000000000000003</v>
      </c>
      <c r="G184" s="37">
        <f>F184-K184</f>
        <v>0.28000000000000003</v>
      </c>
      <c r="H184" s="20">
        <v>2021</v>
      </c>
      <c r="I184" s="37"/>
      <c r="J184" s="37"/>
      <c r="K184" s="23"/>
      <c r="L184" s="21">
        <v>92273.67</v>
      </c>
      <c r="M184" s="23" t="s">
        <v>5135</v>
      </c>
      <c r="N184" s="22">
        <v>13801103</v>
      </c>
      <c r="O184" s="19" t="s">
        <v>2600</v>
      </c>
      <c r="P184" s="23" t="s">
        <v>2601</v>
      </c>
      <c r="Q184" s="38">
        <f>IFERROR(VLOOKUP(P184,[47]conductor_pz_summary_hftd_23_re!$B$2:$Q$3636,8,FALSE),0)</f>
        <v>82</v>
      </c>
      <c r="R184" s="38">
        <f>IFERROR(VLOOKUP(P184,[48]conductor_pz_summary_hftd_23_re!$B$2:$H$3636,7,0),0)/1609</f>
        <v>1.3308706298340647</v>
      </c>
      <c r="S184" s="23">
        <f>IFERROR(VLOOKUP(P184,[47]conductor_pz_summary_hftd_23_re!$B$2:$Q$3636,14,FALSE),0)</f>
        <v>2631</v>
      </c>
      <c r="T184" s="23">
        <f>IFERROR(U184*Q184,0)</f>
        <v>8.2475969260846924E-2</v>
      </c>
      <c r="U184" s="23">
        <f>IFERROR(VLOOKUP(P184,[47]conductor_pz_summary_hftd_23_re!$B$2:$Q$3636,13,FALSE),0)</f>
        <v>1.0058045031810601E-3</v>
      </c>
      <c r="V184" s="79">
        <f>IFERROR(VLOOKUP(P184,conductor_pz_summary_hftd_23_re!$B$2:$N$3636,13,FALSE),0)</f>
        <v>2698</v>
      </c>
      <c r="W184" s="65">
        <f>(AJ184*0.67+AK184*0.99+AL184+AM184*0.99)/(SUM(AJ184:AM184))*T184*(F184/R184)</f>
        <v>1.7178483142239968E-2</v>
      </c>
      <c r="X184" s="23">
        <v>2231</v>
      </c>
      <c r="Y184" s="23" t="s">
        <v>4873</v>
      </c>
      <c r="Z184" s="23" t="s">
        <v>5134</v>
      </c>
      <c r="AA184" s="19" t="s">
        <v>5168</v>
      </c>
      <c r="AB184" s="19" t="s">
        <v>5146</v>
      </c>
      <c r="AC184" s="19" t="s">
        <v>4918</v>
      </c>
      <c r="AD184" s="19" t="s">
        <v>4903</v>
      </c>
      <c r="AE184" s="23">
        <v>5788781</v>
      </c>
      <c r="AF184" s="23" t="s">
        <v>5169</v>
      </c>
      <c r="AG184" s="23">
        <v>118263229</v>
      </c>
      <c r="AH184" s="55">
        <v>35145003</v>
      </c>
      <c r="AI184" s="23" t="s">
        <v>5170</v>
      </c>
      <c r="AJ184" s="23">
        <v>0</v>
      </c>
      <c r="AK184" s="23">
        <v>1161.5999999999999</v>
      </c>
      <c r="AL184" s="23">
        <v>0</v>
      </c>
      <c r="AM184" s="23">
        <v>0</v>
      </c>
      <c r="AN184" s="19"/>
      <c r="AO184" s="63" t="s">
        <v>5171</v>
      </c>
      <c r="AP184" s="23">
        <v>1161.5999999999999</v>
      </c>
      <c r="AQ184" s="41">
        <v>0.22</v>
      </c>
      <c r="AR184" s="42">
        <v>2050000</v>
      </c>
      <c r="AS184" s="23" t="s">
        <v>5013</v>
      </c>
      <c r="AT184" s="19">
        <v>0</v>
      </c>
      <c r="AU184" s="19">
        <v>1161.5999999999999</v>
      </c>
      <c r="AV184" s="19">
        <v>0</v>
      </c>
      <c r="AW184" s="23">
        <f>AU184+AV184</f>
        <v>1161.5999999999999</v>
      </c>
      <c r="AX184" s="41">
        <f>AW184/5280</f>
        <v>0.21999999999999997</v>
      </c>
      <c r="AY184" s="44">
        <v>923999.99999999988</v>
      </c>
      <c r="AZ184" s="58" t="s">
        <v>5172</v>
      </c>
      <c r="BA184" s="23"/>
      <c r="BB184" s="23"/>
      <c r="BC184" s="23"/>
      <c r="BD184" s="23"/>
      <c r="BE184" s="23"/>
      <c r="BF184" s="41"/>
      <c r="BG184" s="45"/>
      <c r="BH184" s="42"/>
      <c r="BI184" s="46"/>
      <c r="BJ184" s="19"/>
      <c r="BK184" s="19"/>
      <c r="BL184" s="19"/>
      <c r="BM184" s="19"/>
      <c r="BN184" s="19"/>
      <c r="BO184" s="19"/>
    </row>
    <row r="185" spans="1:67" x14ac:dyDescent="0.25">
      <c r="A185" s="55">
        <v>35144941</v>
      </c>
      <c r="B185" s="36" t="s">
        <v>5567</v>
      </c>
      <c r="C185" s="23"/>
      <c r="D185" s="23" t="s">
        <v>5568</v>
      </c>
      <c r="E185" s="19"/>
      <c r="F185" s="37">
        <v>2.59</v>
      </c>
      <c r="G185" s="37">
        <f>F185-K185</f>
        <v>2.59</v>
      </c>
      <c r="H185" s="20">
        <v>2021</v>
      </c>
      <c r="I185" s="37"/>
      <c r="J185" s="37"/>
      <c r="K185" s="23"/>
      <c r="L185" s="21">
        <v>180088.06</v>
      </c>
      <c r="M185" s="23" t="s">
        <v>5150</v>
      </c>
      <c r="N185" s="22">
        <v>83252105</v>
      </c>
      <c r="O185" s="19" t="s">
        <v>3145</v>
      </c>
      <c r="P185" s="23" t="s">
        <v>3144</v>
      </c>
      <c r="Q185" s="38">
        <f>IFERROR(VLOOKUP(P185,[47]conductor_pz_summary_hftd_23_re!$B$2:$Q$3636,8,FALSE),0)</f>
        <v>86</v>
      </c>
      <c r="R185" s="38">
        <f>IFERROR(VLOOKUP(P185,[48]conductor_pz_summary_hftd_23_re!$B$2:$H$3636,7,0),0)/1609</f>
        <v>7.4461169791348043</v>
      </c>
      <c r="S185" s="23">
        <f>IFERROR(VLOOKUP(P185,[47]conductor_pz_summary_hftd_23_re!$B$2:$Q$3636,14,FALSE),0)</f>
        <v>2633</v>
      </c>
      <c r="T185" s="23">
        <f>IFERROR(U185*Q185,0)</f>
        <v>8.6208333797444789E-2</v>
      </c>
      <c r="U185" s="23">
        <f>IFERROR(VLOOKUP(P185,[47]conductor_pz_summary_hftd_23_re!$B$2:$Q$3636,13,FALSE),0)</f>
        <v>1.0024224860167999E-3</v>
      </c>
      <c r="V185" s="79">
        <f>IFERROR(VLOOKUP(P185,conductor_pz_summary_hftd_23_re!$B$2:$N$3636,13,FALSE),0)</f>
        <v>2727</v>
      </c>
      <c r="W185" s="65">
        <f>(AJ185*0.67+AK185*0.99+AL185+AM185*0.99)/(SUM(AJ185:AM185))*T185*(F185/R185)</f>
        <v>2.0645303997595062E-2</v>
      </c>
      <c r="X185" s="23">
        <v>1376</v>
      </c>
      <c r="Y185" s="23" t="s">
        <v>4873</v>
      </c>
      <c r="Z185" s="23" t="s">
        <v>5134</v>
      </c>
      <c r="AA185" s="19" t="s">
        <v>5173</v>
      </c>
      <c r="AB185" s="19" t="s">
        <v>5173</v>
      </c>
      <c r="AC185" s="19" t="s">
        <v>5039</v>
      </c>
      <c r="AD185" s="19" t="s">
        <v>5039</v>
      </c>
      <c r="AE185" s="23">
        <v>5788792</v>
      </c>
      <c r="AF185" s="23" t="s">
        <v>5174</v>
      </c>
      <c r="AG185" s="23">
        <v>118261469</v>
      </c>
      <c r="AH185" s="55">
        <v>35144941</v>
      </c>
      <c r="AI185" s="23" t="s">
        <v>5175</v>
      </c>
      <c r="AJ185" s="23">
        <v>17212.8</v>
      </c>
      <c r="AK185" s="23">
        <v>1056</v>
      </c>
      <c r="AL185" s="23">
        <v>0</v>
      </c>
      <c r="AM185" s="23">
        <v>0</v>
      </c>
      <c r="AN185" s="19"/>
      <c r="AO185" s="57" t="s">
        <v>5176</v>
      </c>
      <c r="AP185" s="23">
        <v>16737.599999999999</v>
      </c>
      <c r="AQ185" s="41">
        <v>3.17</v>
      </c>
      <c r="AR185" s="42">
        <v>4786588</v>
      </c>
      <c r="AS185" s="23" t="s">
        <v>5013</v>
      </c>
      <c r="AT185" s="19">
        <v>0</v>
      </c>
      <c r="AU185" s="19">
        <v>1056</v>
      </c>
      <c r="AV185" s="19">
        <v>17212.8</v>
      </c>
      <c r="AW185" s="23">
        <f>AU185+AV185</f>
        <v>18268.8</v>
      </c>
      <c r="AX185" s="41">
        <f>AW185/5280</f>
        <v>3.46</v>
      </c>
      <c r="AY185" s="44">
        <v>14532000</v>
      </c>
      <c r="AZ185" s="60" t="s">
        <v>5177</v>
      </c>
      <c r="BA185" s="23"/>
      <c r="BB185" s="23"/>
      <c r="BC185" s="23"/>
      <c r="BD185" s="23"/>
      <c r="BE185" s="23"/>
      <c r="BF185" s="41"/>
      <c r="BG185" s="45"/>
      <c r="BH185" s="42"/>
      <c r="BI185" s="46"/>
      <c r="BJ185" s="19"/>
      <c r="BK185" s="19"/>
      <c r="BL185" s="19"/>
      <c r="BM185" s="19"/>
      <c r="BN185" s="19"/>
      <c r="BO185" s="19"/>
    </row>
    <row r="186" spans="1:67" x14ac:dyDescent="0.25">
      <c r="A186" s="55">
        <v>35144943</v>
      </c>
      <c r="B186" s="36" t="s">
        <v>5567</v>
      </c>
      <c r="C186" s="23"/>
      <c r="D186" s="23" t="s">
        <v>5568</v>
      </c>
      <c r="E186" s="19"/>
      <c r="F186" s="37">
        <v>0.63</v>
      </c>
      <c r="G186" s="37">
        <f>F186-K186</f>
        <v>0.63</v>
      </c>
      <c r="H186" s="20">
        <v>2021</v>
      </c>
      <c r="I186" s="37"/>
      <c r="J186" s="37"/>
      <c r="K186" s="23"/>
      <c r="L186" s="21">
        <v>95498.4</v>
      </c>
      <c r="M186" s="23" t="s">
        <v>4872</v>
      </c>
      <c r="N186" s="22">
        <v>83692105</v>
      </c>
      <c r="O186" s="19" t="s">
        <v>3614</v>
      </c>
      <c r="P186" s="23" t="s">
        <v>3621</v>
      </c>
      <c r="Q186" s="38">
        <f>IFERROR(VLOOKUP(P186,[47]conductor_pz_summary_hftd_23_re!$B$2:$Q$3636,8,FALSE),0)</f>
        <v>17</v>
      </c>
      <c r="R186" s="38">
        <f>IFERROR(VLOOKUP(P186,[48]conductor_pz_summary_hftd_23_re!$B$2:$H$3636,7,0),0)/1609</f>
        <v>0.73407339631656932</v>
      </c>
      <c r="S186" s="23">
        <f>IFERROR(VLOOKUP(P186,[47]conductor_pz_summary_hftd_23_re!$B$2:$Q$3636,14,FALSE),0)</f>
        <v>2781</v>
      </c>
      <c r="T186" s="23">
        <f>IFERROR(U186*Q186,0)</f>
        <v>5.8961084218290549E-3</v>
      </c>
      <c r="U186" s="23">
        <f>IFERROR(VLOOKUP(P186,[47]conductor_pz_summary_hftd_23_re!$B$2:$Q$3636,13,FALSE),0)</f>
        <v>3.4682990716641501E-4</v>
      </c>
      <c r="V186" s="79">
        <f>IFERROR(VLOOKUP(P186,conductor_pz_summary_hftd_23_re!$B$2:$N$3636,13,FALSE),0)</f>
        <v>2817</v>
      </c>
      <c r="W186" s="65">
        <f>(AJ186*0.67+AK186*0.99+AL186+AM186*0.99)/(SUM(AJ186:AM186))*T186*(F186/R186)</f>
        <v>5.009584656176398E-3</v>
      </c>
      <c r="X186" s="23">
        <v>2564</v>
      </c>
      <c r="Y186" s="23" t="s">
        <v>4873</v>
      </c>
      <c r="Z186" s="23" t="s">
        <v>5134</v>
      </c>
      <c r="AA186" s="19" t="s">
        <v>5178</v>
      </c>
      <c r="AB186" s="19" t="s">
        <v>5173</v>
      </c>
      <c r="AC186" s="19" t="s">
        <v>5039</v>
      </c>
      <c r="AD186" s="19" t="s">
        <v>5039</v>
      </c>
      <c r="AE186" s="23">
        <v>5788791</v>
      </c>
      <c r="AF186" s="23" t="s">
        <v>5179</v>
      </c>
      <c r="AG186" s="23">
        <v>118261587</v>
      </c>
      <c r="AH186" s="55">
        <v>35144943</v>
      </c>
      <c r="AI186" s="23" t="s">
        <v>5180</v>
      </c>
      <c r="AJ186" s="23">
        <v>0</v>
      </c>
      <c r="AK186" s="23">
        <v>2851.2</v>
      </c>
      <c r="AL186" s="23">
        <v>0</v>
      </c>
      <c r="AM186" s="23">
        <v>0</v>
      </c>
      <c r="AN186" s="19"/>
      <c r="AO186" s="57" t="s">
        <v>5181</v>
      </c>
      <c r="AP186" s="23">
        <v>3326.4</v>
      </c>
      <c r="AQ186" s="41">
        <v>0.63</v>
      </c>
      <c r="AR186" s="42">
        <v>1574100</v>
      </c>
      <c r="AS186" s="23" t="s">
        <v>5013</v>
      </c>
      <c r="AT186" s="19">
        <v>0</v>
      </c>
      <c r="AU186" s="19">
        <v>2851.2000000000003</v>
      </c>
      <c r="AV186" s="19">
        <v>0</v>
      </c>
      <c r="AW186" s="23">
        <f>AU186+AV186</f>
        <v>2851.2000000000003</v>
      </c>
      <c r="AX186" s="41">
        <f>AW186/5280</f>
        <v>0.54</v>
      </c>
      <c r="AY186" s="44">
        <v>2268000</v>
      </c>
      <c r="AZ186" s="23"/>
      <c r="BA186" s="23"/>
      <c r="BB186" s="23"/>
      <c r="BC186" s="23"/>
      <c r="BD186" s="23"/>
      <c r="BE186" s="23"/>
      <c r="BF186" s="41"/>
      <c r="BG186" s="45"/>
      <c r="BH186" s="42"/>
      <c r="BI186" s="46"/>
      <c r="BJ186" s="19"/>
      <c r="BK186" s="19"/>
      <c r="BL186" s="19"/>
      <c r="BM186" s="19"/>
      <c r="BN186" s="19"/>
      <c r="BO186" s="19"/>
    </row>
    <row r="187" spans="1:67" x14ac:dyDescent="0.25">
      <c r="A187" s="55">
        <v>35145004</v>
      </c>
      <c r="B187" s="36" t="s">
        <v>5567</v>
      </c>
      <c r="C187" s="23"/>
      <c r="D187" s="23" t="s">
        <v>5568</v>
      </c>
      <c r="E187" s="19"/>
      <c r="F187" s="37">
        <v>0.62</v>
      </c>
      <c r="G187" s="37">
        <f>F187-K187</f>
        <v>0.62</v>
      </c>
      <c r="H187" s="20">
        <v>2021</v>
      </c>
      <c r="I187" s="37"/>
      <c r="J187" s="37"/>
      <c r="K187" s="23"/>
      <c r="L187" s="21">
        <v>86709.38</v>
      </c>
      <c r="M187" s="23" t="s">
        <v>5135</v>
      </c>
      <c r="N187" s="22">
        <v>14161106</v>
      </c>
      <c r="O187" s="19" t="s">
        <v>3635</v>
      </c>
      <c r="P187" s="23" t="s">
        <v>3637</v>
      </c>
      <c r="Q187" s="38">
        <f>IFERROR(VLOOKUP(P187,[47]conductor_pz_summary_hftd_23_re!$B$2:$Q$3636,8,FALSE),0)</f>
        <v>60</v>
      </c>
      <c r="R187" s="38">
        <f>IFERROR(VLOOKUP(P187,[48]conductor_pz_summary_hftd_23_re!$B$2:$H$3636,7,0),0)/1609</f>
        <v>1.8254453338489123</v>
      </c>
      <c r="S187" s="23">
        <f>IFERROR(VLOOKUP(P187,[47]conductor_pz_summary_hftd_23_re!$B$2:$Q$3636,14,FALSE),0)</f>
        <v>3259</v>
      </c>
      <c r="T187" s="23">
        <f>IFERROR(U187*Q187,0)</f>
        <v>3.0956651635938721E-4</v>
      </c>
      <c r="U187" s="23">
        <f>IFERROR(VLOOKUP(P187,[47]conductor_pz_summary_hftd_23_re!$B$2:$Q$3636,13,FALSE),0)</f>
        <v>5.1594419393231201E-6</v>
      </c>
      <c r="V187" s="79">
        <f>IFERROR(VLOOKUP(P187,conductor_pz_summary_hftd_23_re!$B$2:$N$3636,13,FALSE),0)</f>
        <v>2856</v>
      </c>
      <c r="W187" s="65">
        <f>(AJ187*0.67+AK187*0.99+AL187+AM187*0.99)/(SUM(AJ187:AM187))*T187*(F187/R187)</f>
        <v>1.0409072472236448E-4</v>
      </c>
      <c r="X187" s="23">
        <v>1372</v>
      </c>
      <c r="Y187" s="23" t="s">
        <v>4873</v>
      </c>
      <c r="Z187" s="23" t="s">
        <v>5134</v>
      </c>
      <c r="AA187" s="19" t="s">
        <v>5182</v>
      </c>
      <c r="AB187" s="19" t="s">
        <v>5146</v>
      </c>
      <c r="AC187" s="19" t="s">
        <v>4918</v>
      </c>
      <c r="AD187" s="19" t="s">
        <v>4903</v>
      </c>
      <c r="AE187" s="23">
        <v>5788782</v>
      </c>
      <c r="AF187" s="23" t="s">
        <v>5183</v>
      </c>
      <c r="AG187" s="23">
        <v>118263746</v>
      </c>
      <c r="AH187" s="55">
        <v>35145004</v>
      </c>
      <c r="AI187" s="23" t="s">
        <v>5184</v>
      </c>
      <c r="AJ187" s="23">
        <v>0</v>
      </c>
      <c r="AK187" s="23">
        <v>4171.2</v>
      </c>
      <c r="AL187" s="23">
        <v>0</v>
      </c>
      <c r="AM187" s="23">
        <v>0</v>
      </c>
      <c r="AN187" s="19"/>
      <c r="AO187" s="63" t="s">
        <v>5185</v>
      </c>
      <c r="AP187" s="23">
        <v>2112</v>
      </c>
      <c r="AQ187" s="41">
        <v>0.4</v>
      </c>
      <c r="AR187" s="42">
        <v>3720000</v>
      </c>
      <c r="AS187" s="23" t="s">
        <v>5013</v>
      </c>
      <c r="AT187" s="19">
        <v>0</v>
      </c>
      <c r="AU187" s="19">
        <v>4171.2</v>
      </c>
      <c r="AV187" s="19">
        <v>0</v>
      </c>
      <c r="AW187" s="23">
        <f>AU187+AV187</f>
        <v>4171.2</v>
      </c>
      <c r="AX187" s="41">
        <f>AW187/5280</f>
        <v>0.78999999999999992</v>
      </c>
      <c r="AY187" s="44">
        <v>3317999.9999999995</v>
      </c>
      <c r="AZ187" s="58" t="s">
        <v>5186</v>
      </c>
      <c r="BA187" s="23"/>
      <c r="BB187" s="23"/>
      <c r="BC187" s="23"/>
      <c r="BD187" s="23"/>
      <c r="BE187" s="23"/>
      <c r="BF187" s="41"/>
      <c r="BG187" s="45"/>
      <c r="BH187" s="42"/>
      <c r="BI187" s="46"/>
      <c r="BJ187" s="19"/>
      <c r="BK187" s="19"/>
      <c r="BL187" s="19"/>
      <c r="BM187" s="19"/>
      <c r="BN187" s="19"/>
      <c r="BO187" s="19"/>
    </row>
    <row r="188" spans="1:67" x14ac:dyDescent="0.25">
      <c r="A188" s="55">
        <v>35145006</v>
      </c>
      <c r="B188" s="36" t="s">
        <v>5567</v>
      </c>
      <c r="C188" s="23"/>
      <c r="D188" s="23" t="s">
        <v>5568</v>
      </c>
      <c r="E188" s="19"/>
      <c r="F188" s="37">
        <v>0.27</v>
      </c>
      <c r="G188" s="37">
        <f>F188-K188</f>
        <v>0.27</v>
      </c>
      <c r="H188" s="20">
        <v>2021</v>
      </c>
      <c r="I188" s="37"/>
      <c r="J188" s="37"/>
      <c r="K188" s="23"/>
      <c r="L188" s="21">
        <v>126808.89</v>
      </c>
      <c r="M188" s="23" t="s">
        <v>4872</v>
      </c>
      <c r="N188" s="22">
        <v>43201101</v>
      </c>
      <c r="O188" s="19" t="s">
        <v>4190</v>
      </c>
      <c r="P188" s="23" t="s">
        <v>4194</v>
      </c>
      <c r="Q188" s="38">
        <f>IFERROR(VLOOKUP(P188,[47]conductor_pz_summary_hftd_23_re!$B$2:$Q$3636,8,FALSE),0)</f>
        <v>81</v>
      </c>
      <c r="R188" s="38">
        <f>IFERROR(VLOOKUP(P188,[48]conductor_pz_summary_hftd_23_re!$B$2:$H$3636,7,0),0)/1609</f>
        <v>1.0766241037077999</v>
      </c>
      <c r="S188" s="23">
        <f>IFERROR(VLOOKUP(P188,[47]conductor_pz_summary_hftd_23_re!$B$2:$Q$3636,14,FALSE),0)</f>
        <v>3483</v>
      </c>
      <c r="T188" s="23">
        <f>IFERROR(U188*Q188,0)</f>
        <v>1.8614694351852494E-4</v>
      </c>
      <c r="U188" s="23">
        <f>IFERROR(VLOOKUP(P188,[47]conductor_pz_summary_hftd_23_re!$B$2:$Q$3636,13,FALSE),0)</f>
        <v>2.29811041380895E-6</v>
      </c>
      <c r="V188" s="79">
        <f>IFERROR(VLOOKUP(P188,conductor_pz_summary_hftd_23_re!$B$2:$N$3636,13,FALSE),0)</f>
        <v>3428</v>
      </c>
      <c r="W188" s="65">
        <f>(AJ188*0.67+AK188*0.99+AL188+AM188*0.99)/(SUM(AJ188:AM188))*T188*(F188/R188)</f>
        <v>4.6215831348325444E-5</v>
      </c>
      <c r="X188" s="23">
        <v>2388</v>
      </c>
      <c r="Y188" s="23" t="s">
        <v>4873</v>
      </c>
      <c r="Z188" s="23" t="s">
        <v>5134</v>
      </c>
      <c r="AA188" s="19" t="s">
        <v>5162</v>
      </c>
      <c r="AB188" s="19" t="s">
        <v>5163</v>
      </c>
      <c r="AC188" s="19" t="s">
        <v>4883</v>
      </c>
      <c r="AD188" s="19" t="s">
        <v>4903</v>
      </c>
      <c r="AE188" s="23">
        <v>5788788</v>
      </c>
      <c r="AF188" s="23" t="s">
        <v>5199</v>
      </c>
      <c r="AG188" s="23">
        <v>118263874</v>
      </c>
      <c r="AH188" s="55">
        <v>35145006</v>
      </c>
      <c r="AI188" s="23" t="s">
        <v>5200</v>
      </c>
      <c r="AJ188" s="23">
        <v>0</v>
      </c>
      <c r="AK188" s="23">
        <v>1425.6</v>
      </c>
      <c r="AL188" s="23">
        <v>0</v>
      </c>
      <c r="AM188" s="23">
        <v>0</v>
      </c>
      <c r="AN188" s="19"/>
      <c r="AO188" s="62" t="s">
        <v>5201</v>
      </c>
      <c r="AP188" s="23">
        <v>1425.6000000000001</v>
      </c>
      <c r="AQ188" s="41">
        <v>0.27</v>
      </c>
      <c r="AR188" s="42">
        <v>2500000</v>
      </c>
      <c r="AS188" s="23" t="s">
        <v>5013</v>
      </c>
      <c r="AT188" s="19">
        <v>0</v>
      </c>
      <c r="AU188" s="19">
        <v>1425.6000000000001</v>
      </c>
      <c r="AV188" s="19">
        <v>0</v>
      </c>
      <c r="AW188" s="23">
        <f>AU188+AV188</f>
        <v>1425.6000000000001</v>
      </c>
      <c r="AX188" s="41">
        <f>AW188/5280</f>
        <v>0.27</v>
      </c>
      <c r="AY188" s="44">
        <v>1134000</v>
      </c>
      <c r="AZ188" s="57" t="s">
        <v>5202</v>
      </c>
      <c r="BA188" s="23"/>
      <c r="BB188" s="23"/>
      <c r="BC188" s="23"/>
      <c r="BD188" s="23"/>
      <c r="BE188" s="23"/>
      <c r="BF188" s="41"/>
      <c r="BG188" s="45"/>
      <c r="BH188" s="42"/>
      <c r="BI188" s="46"/>
      <c r="BJ188" s="19"/>
      <c r="BK188" s="19"/>
      <c r="BL188" s="19"/>
      <c r="BM188" s="19"/>
      <c r="BN188" s="19"/>
      <c r="BO188" s="19"/>
    </row>
    <row r="189" spans="1:67" x14ac:dyDescent="0.25">
      <c r="A189" s="55">
        <v>35145522</v>
      </c>
      <c r="B189" s="36" t="s">
        <v>5567</v>
      </c>
      <c r="C189" s="23"/>
      <c r="D189" s="23" t="s">
        <v>5568</v>
      </c>
      <c r="E189" s="19"/>
      <c r="F189" s="37">
        <v>3.95</v>
      </c>
      <c r="G189" s="37">
        <f>F189-K189</f>
        <v>3.95</v>
      </c>
      <c r="H189" s="20">
        <v>2021</v>
      </c>
      <c r="I189" s="37"/>
      <c r="J189" s="37"/>
      <c r="K189" s="23"/>
      <c r="L189" s="21">
        <v>142609.46</v>
      </c>
      <c r="M189" s="23" t="s">
        <v>5135</v>
      </c>
      <c r="N189" s="22">
        <v>153612104</v>
      </c>
      <c r="O189" s="19" t="s">
        <v>811</v>
      </c>
      <c r="P189" s="23" t="s">
        <v>814</v>
      </c>
      <c r="Q189" s="38">
        <f>IFERROR(VLOOKUP(P189,[47]conductor_pz_summary_hftd_23_re!$B$2:$Q$3636,8,FALSE),0)</f>
        <v>107</v>
      </c>
      <c r="R189" s="38">
        <f>IFERROR(VLOOKUP(P189,[48]conductor_pz_summary_hftd_23_re!$B$2:$H$3636,7,0),0)/1609</f>
        <v>8.8028340656195159</v>
      </c>
      <c r="S189" s="23">
        <f>IFERROR(VLOOKUP(P189,[47]conductor_pz_summary_hftd_23_re!$B$2:$Q$3636,14,FALSE),0)</f>
        <v>134</v>
      </c>
      <c r="T189" s="23">
        <f>IFERROR(U189*Q189,0)</f>
        <v>32.51871125378176</v>
      </c>
      <c r="U189" s="23">
        <f>IFERROR(VLOOKUP(P189,[47]conductor_pz_summary_hftd_23_re!$B$2:$Q$3636,13,FALSE),0)</f>
        <v>0.30391318928768002</v>
      </c>
      <c r="V189" s="79">
        <f>IFERROR(VLOOKUP(P189,conductor_pz_summary_hftd_23_re!$B$2:$N$3636,13,FALSE),0)</f>
        <v>385</v>
      </c>
      <c r="W189" s="65">
        <f>(AJ189*0.67+AK189*0.99+AL189+AM189*0.99)/(SUM(AJ189:AM189))*T189*(F189/R189)</f>
        <v>14.445849985355158</v>
      </c>
      <c r="X189" s="23">
        <v>541</v>
      </c>
      <c r="Y189" s="23" t="s">
        <v>4873</v>
      </c>
      <c r="Z189" s="23" t="s">
        <v>5134</v>
      </c>
      <c r="AA189" s="19" t="s">
        <v>5136</v>
      </c>
      <c r="AB189" s="19" t="s">
        <v>4890</v>
      </c>
      <c r="AC189" s="19" t="s">
        <v>4891</v>
      </c>
      <c r="AD189" s="19" t="s">
        <v>4877</v>
      </c>
      <c r="AE189" s="23">
        <v>5788783</v>
      </c>
      <c r="AF189" s="23" t="s">
        <v>5137</v>
      </c>
      <c r="AG189" s="23">
        <v>118265394</v>
      </c>
      <c r="AH189" s="55">
        <v>35145522</v>
      </c>
      <c r="AI189" s="23" t="s">
        <v>5138</v>
      </c>
      <c r="AJ189" s="23">
        <v>0</v>
      </c>
      <c r="AK189" s="23">
        <v>13464</v>
      </c>
      <c r="AL189" s="23">
        <v>0</v>
      </c>
      <c r="AM189" s="23">
        <v>0</v>
      </c>
      <c r="AN189" s="19"/>
      <c r="AO189" s="63" t="s">
        <v>5139</v>
      </c>
      <c r="AP189" s="23">
        <v>13463.999999999998</v>
      </c>
      <c r="AQ189" s="41">
        <v>2.5499999999999998</v>
      </c>
      <c r="AR189" s="42">
        <v>23720000</v>
      </c>
      <c r="AS189" s="23" t="s">
        <v>5013</v>
      </c>
      <c r="AT189" s="19">
        <v>0</v>
      </c>
      <c r="AU189" s="19">
        <v>13463.999999999998</v>
      </c>
      <c r="AV189" s="19">
        <v>0</v>
      </c>
      <c r="AW189" s="23">
        <f>AU189+AV189</f>
        <v>13463.999999999998</v>
      </c>
      <c r="AX189" s="41">
        <f>AW189/5280</f>
        <v>2.5499999999999998</v>
      </c>
      <c r="AY189" s="44">
        <v>10710000</v>
      </c>
      <c r="AZ189" s="58" t="s">
        <v>5140</v>
      </c>
      <c r="BA189" s="79"/>
      <c r="BB189" s="23"/>
      <c r="BC189" s="23"/>
      <c r="BD189" s="23"/>
      <c r="BE189" s="23"/>
      <c r="BF189" s="41"/>
      <c r="BG189" s="45"/>
      <c r="BH189" s="42"/>
      <c r="BI189" s="46"/>
      <c r="BJ189" s="19"/>
      <c r="BK189" s="19"/>
      <c r="BL189" s="19"/>
      <c r="BM189" s="19"/>
      <c r="BN189" s="19"/>
      <c r="BO189" s="19"/>
    </row>
    <row r="190" spans="1:67" x14ac:dyDescent="0.25">
      <c r="A190" s="65"/>
      <c r="B190" s="109"/>
      <c r="C190" s="79"/>
      <c r="D190" s="79" t="s">
        <v>5486</v>
      </c>
      <c r="E190" s="65"/>
      <c r="F190" s="79">
        <v>0.04</v>
      </c>
      <c r="G190" s="37">
        <f>F190-K190</f>
        <v>0.04</v>
      </c>
      <c r="H190" s="79">
        <v>2021</v>
      </c>
      <c r="I190" s="65"/>
      <c r="J190" s="65"/>
      <c r="K190" s="65"/>
      <c r="L190" s="21">
        <v>0</v>
      </c>
      <c r="M190" s="79" t="s">
        <v>5486</v>
      </c>
      <c r="N190" s="65">
        <v>48011144</v>
      </c>
      <c r="O190" s="65" t="s">
        <v>604</v>
      </c>
      <c r="P190" s="79" t="s">
        <v>5491</v>
      </c>
      <c r="Q190" s="38">
        <f>IFERROR(VLOOKUP(P190,[47]conductor_pz_summary_hftd_23_re!$B$2:$Q$3636,8,FALSE),0)</f>
        <v>0</v>
      </c>
      <c r="R190" s="38">
        <f>IFERROR(VLOOKUP(P190,[48]conductor_pz_summary_hftd_23_re!$B$2:$H$3636,7,0),0)/1609</f>
        <v>0</v>
      </c>
      <c r="S190" s="23">
        <f>IFERROR(VLOOKUP(P190,[47]conductor_pz_summary_hftd_23_re!$B$2:$Q$3636,14,FALSE),0)</f>
        <v>0</v>
      </c>
      <c r="T190" s="23">
        <f>IFERROR(U190*Q190,0)</f>
        <v>0</v>
      </c>
      <c r="U190" s="23">
        <f>IFERROR(VLOOKUP(P190,[47]conductor_pz_summary_hftd_23_re!$B$2:$Q$3636,13,FALSE),0)</f>
        <v>0</v>
      </c>
      <c r="V190" s="79">
        <f>IFERROR(VLOOKUP(P190,conductor_pz_summary_hftd_23_re!$B$2:$N$3636,13,FALSE),0)</f>
        <v>0</v>
      </c>
      <c r="W190" s="65" t="e">
        <f>(AJ190*0.67+AK190*0.99+AL190+AM190*0.99)/(SUM(AJ190:AM190))*T190*(F190/R190)</f>
        <v>#DIV/0!</v>
      </c>
      <c r="X190" s="65"/>
      <c r="Y190" s="65"/>
      <c r="Z190" s="79" t="s">
        <v>5330</v>
      </c>
      <c r="AA190" s="65"/>
      <c r="AB190" s="65"/>
      <c r="AC190" s="65"/>
      <c r="AD190" s="65"/>
      <c r="AE190" s="65">
        <v>5543354</v>
      </c>
      <c r="AF190" s="79" t="s">
        <v>5447</v>
      </c>
      <c r="AG190" s="79"/>
      <c r="AH190" s="79" t="s">
        <v>5486</v>
      </c>
      <c r="AI190" s="79" t="s">
        <v>5346</v>
      </c>
      <c r="AJ190" s="65"/>
      <c r="AK190" s="65"/>
      <c r="AL190" s="65"/>
      <c r="AM190" s="65"/>
      <c r="AN190" s="65"/>
      <c r="AO190" s="65"/>
      <c r="AP190" s="65"/>
      <c r="AQ190" s="65"/>
      <c r="AR190" s="99"/>
      <c r="AS190" s="65"/>
      <c r="AT190" s="65"/>
      <c r="AU190" s="65"/>
      <c r="AV190" s="65"/>
      <c r="AW190" s="23">
        <f>AU190+AV190</f>
        <v>0</v>
      </c>
      <c r="AX190" s="41">
        <f>AW190/5280</f>
        <v>0</v>
      </c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</row>
    <row r="191" spans="1:67" x14ac:dyDescent="0.25">
      <c r="A191" s="59">
        <v>35072360</v>
      </c>
      <c r="B191" s="55" t="s">
        <v>5570</v>
      </c>
      <c r="C191" s="23"/>
      <c r="D191" s="23" t="s">
        <v>5568</v>
      </c>
      <c r="E191" s="19"/>
      <c r="F191" s="23">
        <v>1.05</v>
      </c>
      <c r="G191" s="37">
        <f>F191-K191</f>
        <v>1.05</v>
      </c>
      <c r="H191" s="20">
        <v>2021</v>
      </c>
      <c r="I191" s="37"/>
      <c r="J191" s="37"/>
      <c r="K191" s="23"/>
      <c r="L191" s="21">
        <v>718998.64</v>
      </c>
      <c r="M191" s="23" t="s">
        <v>4966</v>
      </c>
      <c r="N191" s="22">
        <v>163692102</v>
      </c>
      <c r="O191" s="19" t="s">
        <v>3663</v>
      </c>
      <c r="P191" s="23" t="s">
        <v>3664</v>
      </c>
      <c r="Q191" s="38">
        <f>IFERROR(VLOOKUP(P191,[47]conductor_pz_summary_hftd_23_re!$B$2:$Q$3636,8,FALSE),0)</f>
        <v>256</v>
      </c>
      <c r="R191" s="38">
        <f>IFERROR(VLOOKUP(P191,[48]conductor_pz_summary_hftd_23_re!$B$2:$H$3636,7,0),0)/1609</f>
        <v>17.962540891696708</v>
      </c>
      <c r="S191" s="23">
        <f>IFERROR(VLOOKUP(P191,[47]conductor_pz_summary_hftd_23_re!$B$2:$Q$3636,14,FALSE),0)</f>
        <v>2659</v>
      </c>
      <c r="T191" s="23">
        <f>IFERROR(U191*Q191,0)</f>
        <v>0.22060872270922624</v>
      </c>
      <c r="U191" s="23">
        <f>IFERROR(VLOOKUP(P191,[47]conductor_pz_summary_hftd_23_re!$B$2:$Q$3636,13,FALSE),0)</f>
        <v>8.61752823082915E-4</v>
      </c>
      <c r="V191" s="79">
        <f>IFERROR(VLOOKUP(P191,conductor_pz_summary_hftd_23_re!$B$2:$N$3636,13,FALSE),0)</f>
        <v>2600</v>
      </c>
      <c r="W191" s="65">
        <f>(AJ191*0.67+AK191*0.99+AL191+AM191*0.99)/(SUM(AJ191:AM191))*T191*(F191/R191)</f>
        <v>8.6401048360414297E-3</v>
      </c>
      <c r="X191" s="23">
        <v>8</v>
      </c>
      <c r="Y191" s="23" t="s">
        <v>4873</v>
      </c>
      <c r="Z191" s="23" t="s">
        <v>4888</v>
      </c>
      <c r="AA191" s="19" t="s">
        <v>5002</v>
      </c>
      <c r="AB191" s="19" t="s">
        <v>4961</v>
      </c>
      <c r="AC191" s="19" t="s">
        <v>4962</v>
      </c>
      <c r="AD191" s="19" t="s">
        <v>4963</v>
      </c>
      <c r="AE191" s="23">
        <v>5783906</v>
      </c>
      <c r="AF191" s="23" t="s">
        <v>5003</v>
      </c>
      <c r="AG191" s="23">
        <v>114754229</v>
      </c>
      <c r="AH191" s="59">
        <v>35072360</v>
      </c>
      <c r="AI191" s="23" t="s">
        <v>5004</v>
      </c>
      <c r="AJ191" s="23">
        <v>5541</v>
      </c>
      <c r="AK191" s="23">
        <v>0</v>
      </c>
      <c r="AL191" s="23">
        <v>0</v>
      </c>
      <c r="AM191" s="23">
        <v>0</v>
      </c>
      <c r="AN191" s="19"/>
      <c r="AO191" s="60" t="s">
        <v>5005</v>
      </c>
      <c r="AP191" s="23">
        <v>7708.8</v>
      </c>
      <c r="AQ191" s="41">
        <v>1.46</v>
      </c>
      <c r="AR191" s="42">
        <v>1574171</v>
      </c>
      <c r="AS191" s="60" t="s">
        <v>5006</v>
      </c>
      <c r="AT191" s="19">
        <v>0</v>
      </c>
      <c r="AU191" s="19">
        <v>0</v>
      </c>
      <c r="AV191" s="19">
        <v>5305</v>
      </c>
      <c r="AW191" s="23">
        <f>AU191+AV191</f>
        <v>5305</v>
      </c>
      <c r="AX191" s="41">
        <f>AW191/5280</f>
        <v>1.0047348484848484</v>
      </c>
      <c r="AY191" s="44">
        <v>1929090.9090909089</v>
      </c>
      <c r="AZ191" s="58" t="s">
        <v>5007</v>
      </c>
      <c r="BA191" s="58" t="s">
        <v>5008</v>
      </c>
      <c r="BB191" s="23">
        <v>0</v>
      </c>
      <c r="BC191" s="23">
        <v>0</v>
      </c>
      <c r="BD191" s="23">
        <v>5541</v>
      </c>
      <c r="BE191" s="23">
        <v>5541</v>
      </c>
      <c r="BF191" s="41">
        <v>1.0494318181818181</v>
      </c>
      <c r="BG191" s="45">
        <v>1932059</v>
      </c>
      <c r="BH191" s="42">
        <v>2583069</v>
      </c>
      <c r="BI191" s="46">
        <v>348.68417253203393</v>
      </c>
      <c r="BJ191" s="19"/>
      <c r="BK191" s="19"/>
      <c r="BL191" s="19"/>
      <c r="BM191" s="19"/>
      <c r="BN191" s="19"/>
      <c r="BO191" s="19"/>
    </row>
    <row r="192" spans="1:67" x14ac:dyDescent="0.25">
      <c r="F192" s="79"/>
      <c r="AR192" s="99"/>
    </row>
    <row r="193" spans="6:44" x14ac:dyDescent="0.25">
      <c r="F193" s="79"/>
      <c r="AR193" s="99"/>
    </row>
    <row r="194" spans="6:44" x14ac:dyDescent="0.25">
      <c r="F194" s="79"/>
      <c r="AR194" s="99"/>
    </row>
    <row r="195" spans="6:44" x14ac:dyDescent="0.25">
      <c r="F195" s="79"/>
      <c r="AR195" s="99"/>
    </row>
    <row r="196" spans="6:44" x14ac:dyDescent="0.25">
      <c r="F196" s="79"/>
      <c r="AR196" s="99"/>
    </row>
    <row r="197" spans="6:44" x14ac:dyDescent="0.25">
      <c r="F197" s="79"/>
      <c r="AR197" s="99"/>
    </row>
    <row r="198" spans="6:44" x14ac:dyDescent="0.25">
      <c r="F198" s="79"/>
      <c r="AR198" s="99"/>
    </row>
    <row r="199" spans="6:44" x14ac:dyDescent="0.25">
      <c r="F199" s="79"/>
      <c r="AR199" s="99"/>
    </row>
    <row r="200" spans="6:44" x14ac:dyDescent="0.25">
      <c r="F200" s="79"/>
      <c r="AR200" s="99"/>
    </row>
    <row r="201" spans="6:44" x14ac:dyDescent="0.25">
      <c r="F201" s="79"/>
      <c r="AR201" s="99"/>
    </row>
    <row r="202" spans="6:44" x14ac:dyDescent="0.25">
      <c r="F202" s="79"/>
      <c r="AR202" s="99"/>
    </row>
    <row r="203" spans="6:44" x14ac:dyDescent="0.25">
      <c r="F203" s="79"/>
      <c r="AR203" s="99"/>
    </row>
    <row r="204" spans="6:44" x14ac:dyDescent="0.25">
      <c r="F204" s="79"/>
      <c r="AR204" s="99"/>
    </row>
    <row r="205" spans="6:44" x14ac:dyDescent="0.25">
      <c r="F205" s="79"/>
      <c r="AR205" s="99"/>
    </row>
    <row r="206" spans="6:44" x14ac:dyDescent="0.25">
      <c r="F206" s="79"/>
      <c r="AR206" s="99"/>
    </row>
    <row r="207" spans="6:44" x14ac:dyDescent="0.25">
      <c r="F207" s="79"/>
      <c r="AR207" s="99"/>
    </row>
    <row r="208" spans="6:44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</row>
    <row r="302" spans="6:44" x14ac:dyDescent="0.25">
      <c r="F302" s="79"/>
    </row>
    <row r="303" spans="6:44" x14ac:dyDescent="0.25">
      <c r="F303" s="79"/>
    </row>
    <row r="304" spans="6:44" x14ac:dyDescent="0.25">
      <c r="F304" s="79"/>
    </row>
    <row r="305" spans="6:6" x14ac:dyDescent="0.25">
      <c r="F305" s="79"/>
    </row>
    <row r="306" spans="6:6" x14ac:dyDescent="0.25">
      <c r="F306" s="79"/>
    </row>
    <row r="307" spans="6:6" x14ac:dyDescent="0.25">
      <c r="F307" s="79"/>
    </row>
    <row r="308" spans="6:6" x14ac:dyDescent="0.25">
      <c r="F308" s="79"/>
    </row>
    <row r="309" spans="6:6" x14ac:dyDescent="0.25">
      <c r="F309" s="79"/>
    </row>
    <row r="310" spans="6:6" x14ac:dyDescent="0.25">
      <c r="F310" s="79"/>
    </row>
    <row r="311" spans="6:6" x14ac:dyDescent="0.25">
      <c r="F311" s="79"/>
    </row>
    <row r="312" spans="6:6" x14ac:dyDescent="0.25">
      <c r="F312" s="79"/>
    </row>
    <row r="313" spans="6:6" x14ac:dyDescent="0.25">
      <c r="F313" s="79"/>
    </row>
    <row r="314" spans="6:6" x14ac:dyDescent="0.25">
      <c r="F314" s="79"/>
    </row>
    <row r="315" spans="6:6" x14ac:dyDescent="0.25">
      <c r="F315" s="79"/>
    </row>
    <row r="316" spans="6:6" x14ac:dyDescent="0.25">
      <c r="F316" s="79"/>
    </row>
    <row r="317" spans="6:6" x14ac:dyDescent="0.25">
      <c r="F317" s="79"/>
    </row>
    <row r="318" spans="6:6" x14ac:dyDescent="0.25">
      <c r="F318" s="79"/>
    </row>
    <row r="319" spans="6:6" x14ac:dyDescent="0.25">
      <c r="F319" s="79"/>
    </row>
    <row r="320" spans="6:6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</sheetData>
  <autoFilter ref="A2:BO191" xr:uid="{CD788A0E-179B-45C5-AE3C-228FB52621E4}"/>
  <phoneticPr fontId="13" type="noConversion"/>
  <conditionalFormatting sqref="A3:A5">
    <cfRule type="duplicateValues" dxfId="70" priority="88"/>
  </conditionalFormatting>
  <conditionalFormatting sqref="AH3:AH5">
    <cfRule type="duplicateValues" dxfId="69" priority="87"/>
  </conditionalFormatting>
  <conditionalFormatting sqref="A3:A5">
    <cfRule type="duplicateValues" dxfId="68" priority="89"/>
  </conditionalFormatting>
  <conditionalFormatting sqref="A3:A5">
    <cfRule type="duplicateValues" dxfId="67" priority="90"/>
  </conditionalFormatting>
  <conditionalFormatting sqref="A3:A5">
    <cfRule type="duplicateValues" dxfId="66" priority="91"/>
  </conditionalFormatting>
  <conditionalFormatting sqref="AH3:AH5">
    <cfRule type="duplicateValues" dxfId="65" priority="92"/>
  </conditionalFormatting>
  <conditionalFormatting sqref="AH3:AH5">
    <cfRule type="duplicateValues" dxfId="64" priority="93"/>
  </conditionalFormatting>
  <conditionalFormatting sqref="A6:A25">
    <cfRule type="duplicateValues" dxfId="63" priority="81"/>
  </conditionalFormatting>
  <conditionalFormatting sqref="AH6:AH25">
    <cfRule type="duplicateValues" dxfId="62" priority="80"/>
  </conditionalFormatting>
  <conditionalFormatting sqref="A6:A25">
    <cfRule type="duplicateValues" dxfId="61" priority="82"/>
  </conditionalFormatting>
  <conditionalFormatting sqref="A6:A25">
    <cfRule type="duplicateValues" dxfId="60" priority="83"/>
  </conditionalFormatting>
  <conditionalFormatting sqref="A6:A25">
    <cfRule type="duplicateValues" dxfId="59" priority="84"/>
  </conditionalFormatting>
  <conditionalFormatting sqref="AH6:AH25">
    <cfRule type="duplicateValues" dxfId="58" priority="85"/>
  </conditionalFormatting>
  <conditionalFormatting sqref="AH6:AH25">
    <cfRule type="duplicateValues" dxfId="57" priority="86"/>
  </conditionalFormatting>
  <conditionalFormatting sqref="A26:A31 A34:A40">
    <cfRule type="duplicateValues" dxfId="56" priority="74"/>
  </conditionalFormatting>
  <conditionalFormatting sqref="AH34:AH40 AH26:AH31">
    <cfRule type="duplicateValues" dxfId="55" priority="73"/>
  </conditionalFormatting>
  <conditionalFormatting sqref="A26:A40">
    <cfRule type="duplicateValues" dxfId="54" priority="75"/>
  </conditionalFormatting>
  <conditionalFormatting sqref="A26:A40">
    <cfRule type="duplicateValues" dxfId="53" priority="76"/>
  </conditionalFormatting>
  <conditionalFormatting sqref="A31">
    <cfRule type="duplicateValues" dxfId="52" priority="77"/>
  </conditionalFormatting>
  <conditionalFormatting sqref="AH26:AH40">
    <cfRule type="duplicateValues" dxfId="51" priority="78"/>
  </conditionalFormatting>
  <conditionalFormatting sqref="AH26:AH40">
    <cfRule type="duplicateValues" dxfId="50" priority="79"/>
  </conditionalFormatting>
  <conditionalFormatting sqref="A32:A33">
    <cfRule type="duplicateValues" dxfId="49" priority="72"/>
  </conditionalFormatting>
  <conditionalFormatting sqref="AH32:AH33">
    <cfRule type="duplicateValues" dxfId="48" priority="71"/>
  </conditionalFormatting>
  <conditionalFormatting sqref="A41:A54">
    <cfRule type="duplicateValues" dxfId="47" priority="65"/>
  </conditionalFormatting>
  <conditionalFormatting sqref="AH41:AH54">
    <cfRule type="duplicateValues" dxfId="46" priority="64"/>
  </conditionalFormatting>
  <conditionalFormatting sqref="A41:A54">
    <cfRule type="duplicateValues" dxfId="45" priority="66"/>
  </conditionalFormatting>
  <conditionalFormatting sqref="A44">
    <cfRule type="duplicateValues" dxfId="44" priority="67"/>
  </conditionalFormatting>
  <conditionalFormatting sqref="A44">
    <cfRule type="duplicateValues" dxfId="43" priority="68"/>
  </conditionalFormatting>
  <conditionalFormatting sqref="AH41:AH54">
    <cfRule type="duplicateValues" dxfId="42" priority="69"/>
  </conditionalFormatting>
  <conditionalFormatting sqref="AH41:AH54">
    <cfRule type="duplicateValues" dxfId="41" priority="70"/>
  </conditionalFormatting>
  <conditionalFormatting sqref="A55:A69">
    <cfRule type="duplicateValues" dxfId="40" priority="58"/>
  </conditionalFormatting>
  <conditionalFormatting sqref="AH55:AH81">
    <cfRule type="duplicateValues" dxfId="39" priority="57"/>
  </conditionalFormatting>
  <conditionalFormatting sqref="A55:A69">
    <cfRule type="duplicateValues" dxfId="38" priority="59"/>
  </conditionalFormatting>
  <conditionalFormatting sqref="A55:A57">
    <cfRule type="duplicateValues" dxfId="37" priority="60"/>
  </conditionalFormatting>
  <conditionalFormatting sqref="A55:A57">
    <cfRule type="duplicateValues" dxfId="36" priority="61"/>
  </conditionalFormatting>
  <conditionalFormatting sqref="AH55:AH81">
    <cfRule type="duplicateValues" dxfId="35" priority="62"/>
  </conditionalFormatting>
  <conditionalFormatting sqref="AH55:AH81">
    <cfRule type="duplicateValues" dxfId="34" priority="63"/>
  </conditionalFormatting>
  <conditionalFormatting sqref="A84:A139">
    <cfRule type="duplicateValues" dxfId="33" priority="39"/>
  </conditionalFormatting>
  <conditionalFormatting sqref="AH137:AH139 AH84:AH135">
    <cfRule type="duplicateValues" dxfId="32" priority="38"/>
  </conditionalFormatting>
  <conditionalFormatting sqref="A84:A139">
    <cfRule type="duplicateValues" dxfId="31" priority="40"/>
  </conditionalFormatting>
  <conditionalFormatting sqref="AH137:AH139 AH84:AH135">
    <cfRule type="duplicateValues" dxfId="30" priority="43"/>
  </conditionalFormatting>
  <conditionalFormatting sqref="A82">
    <cfRule type="duplicateValues" dxfId="29" priority="27"/>
  </conditionalFormatting>
  <conditionalFormatting sqref="A82">
    <cfRule type="duplicateValues" dxfId="28" priority="28"/>
  </conditionalFormatting>
  <conditionalFormatting sqref="A82">
    <cfRule type="duplicateValues" dxfId="27" priority="29"/>
  </conditionalFormatting>
  <conditionalFormatting sqref="A82">
    <cfRule type="duplicateValues" dxfId="26" priority="30"/>
  </conditionalFormatting>
  <conditionalFormatting sqref="AH82">
    <cfRule type="duplicateValues" dxfId="25" priority="22"/>
  </conditionalFormatting>
  <conditionalFormatting sqref="AH82">
    <cfRule type="duplicateValues" dxfId="24" priority="23"/>
  </conditionalFormatting>
  <conditionalFormatting sqref="AH82">
    <cfRule type="duplicateValues" dxfId="23" priority="24"/>
  </conditionalFormatting>
  <conditionalFormatting sqref="AH82">
    <cfRule type="duplicateValues" dxfId="22" priority="25"/>
  </conditionalFormatting>
  <conditionalFormatting sqref="A83">
    <cfRule type="duplicateValues" dxfId="21" priority="94"/>
  </conditionalFormatting>
  <conditionalFormatting sqref="A185">
    <cfRule type="duplicateValues" dxfId="20" priority="18"/>
  </conditionalFormatting>
  <conditionalFormatting sqref="A185">
    <cfRule type="duplicateValues" dxfId="19" priority="19"/>
  </conditionalFormatting>
  <conditionalFormatting sqref="A185">
    <cfRule type="duplicateValues" dxfId="18" priority="20"/>
  </conditionalFormatting>
  <conditionalFormatting sqref="A185">
    <cfRule type="duplicateValues" dxfId="17" priority="21"/>
  </conditionalFormatting>
  <conditionalFormatting sqref="AH185">
    <cfRule type="duplicateValues" dxfId="16" priority="15"/>
  </conditionalFormatting>
  <conditionalFormatting sqref="AH185">
    <cfRule type="duplicateValues" dxfId="15" priority="16"/>
  </conditionalFormatting>
  <conditionalFormatting sqref="AH185">
    <cfRule type="duplicateValues" dxfId="14" priority="17"/>
  </conditionalFormatting>
  <conditionalFormatting sqref="A186">
    <cfRule type="duplicateValues" dxfId="13" priority="11"/>
  </conditionalFormatting>
  <conditionalFormatting sqref="A186">
    <cfRule type="duplicateValues" dxfId="12" priority="12"/>
  </conditionalFormatting>
  <conditionalFormatting sqref="A186">
    <cfRule type="duplicateValues" dxfId="11" priority="13"/>
  </conditionalFormatting>
  <conditionalFormatting sqref="A186">
    <cfRule type="duplicateValues" dxfId="10" priority="14"/>
  </conditionalFormatting>
  <conditionalFormatting sqref="AH186">
    <cfRule type="duplicateValues" dxfId="9" priority="8"/>
  </conditionalFormatting>
  <conditionalFormatting sqref="AH186">
    <cfRule type="duplicateValues" dxfId="8" priority="9"/>
  </conditionalFormatting>
  <conditionalFormatting sqref="AH186">
    <cfRule type="duplicateValues" dxfId="7" priority="10"/>
  </conditionalFormatting>
  <conditionalFormatting sqref="A187">
    <cfRule type="duplicateValues" dxfId="6" priority="4"/>
  </conditionalFormatting>
  <conditionalFormatting sqref="A187">
    <cfRule type="duplicateValues" dxfId="5" priority="5"/>
  </conditionalFormatting>
  <conditionalFormatting sqref="A187">
    <cfRule type="duplicateValues" dxfId="4" priority="6"/>
  </conditionalFormatting>
  <conditionalFormatting sqref="A187">
    <cfRule type="duplicateValues" dxfId="3" priority="7"/>
  </conditionalFormatting>
  <conditionalFormatting sqref="AH187">
    <cfRule type="duplicateValues" dxfId="2" priority="1"/>
  </conditionalFormatting>
  <conditionalFormatting sqref="AH187">
    <cfRule type="duplicateValues" dxfId="1" priority="2"/>
  </conditionalFormatting>
  <conditionalFormatting sqref="AH187">
    <cfRule type="duplicateValues" dxfId="0" priority="3"/>
  </conditionalFormatting>
  <hyperlinks>
    <hyperlink ref="AO87" r:id="rId1" xr:uid="{44C65C8F-E4CF-429E-B0A8-239419CF042A}"/>
    <hyperlink ref="AO115" r:id="rId2" display="http://www/edrs/pr/DisplayPR.asp?idEDR=1047624" xr:uid="{6CAA74F3-9988-4CF4-AABD-88C374E00455}"/>
    <hyperlink ref="AO117" r:id="rId3" display="http://www/edrs/pr/DisplayPR.asp?idEDR=1047622" xr:uid="{25223E44-F1FF-4F1E-8741-32CCEFDB5C0B}"/>
    <hyperlink ref="AO116" r:id="rId4" display="http://www/edrs/pr/DisplayPR.asp?idEDR=1047618" xr:uid="{62AE9E96-2887-41A3-8461-C7BE42F4429D}"/>
    <hyperlink ref="AO88" r:id="rId5" xr:uid="{FC3F25B4-8468-4F86-856A-16828D4CFEFB}"/>
    <hyperlink ref="AO89" r:id="rId6" xr:uid="{BE1A9F03-9328-4AEB-8EB7-FE4A08A29EDD}"/>
    <hyperlink ref="AO118" r:id="rId7" display="http://www/edrs/pr/DisplayPR.asp?idEDR=1043203" xr:uid="{7A163826-9BC4-43AF-AB8B-B548B119C3DE}"/>
    <hyperlink ref="AO99" r:id="rId8" display="http://www/edrs/pr/DisplayPR.asp?idEDR=1192419" xr:uid="{002DCE0F-82E6-4A01-9429-C247812CB7D6}"/>
    <hyperlink ref="AN99" r:id="rId9" display="http://www/edrs/pr/DisplayPR.asp?idEDR=1192237" xr:uid="{DB567708-86E5-459A-89BF-6623EBB39004}"/>
    <hyperlink ref="AO95" r:id="rId10" display="http://www/edrs/pr/DisplayPR.asp?idEDR=1194274" xr:uid="{D81F0171-1BE5-49B4-93F2-0E98681A654B}"/>
    <hyperlink ref="AO97" r:id="rId11" display="http://www/edrs/pr/DisplayPR.asp?idEDR=1194328" xr:uid="{1B402FDC-8873-4707-8CBD-A736D2B80786}"/>
    <hyperlink ref="AN97" r:id="rId12" display="http://www/edrs/pr/DisplayPR.asp?idEDR=1194327" xr:uid="{2C77D1F7-040C-4A9F-91AD-B2BDD5897889}"/>
    <hyperlink ref="AO119" r:id="rId13" display="http://www/edrs/pr/DisplayPR.asp?idEDR=1031304" xr:uid="{651D2487-9D47-4474-A0AC-AD5052C06756}"/>
    <hyperlink ref="AO120" r:id="rId14" display="http://www/edrs/pr/DisplayPR.asp?idEDR=996628" xr:uid="{EB43D2BA-9D39-49C6-85C5-F194A70E44F8}"/>
    <hyperlink ref="AO121" r:id="rId15" display="http://www/edrs/pr/DisplayPR.asp?idEDR=1078797" xr:uid="{EFCA8933-B3CB-4F4C-B0CA-8075687ED2F1}"/>
    <hyperlink ref="AO72" r:id="rId16" display="http://www/edrs/pr/DisplayPRRef.asp?idEDR=1033800&amp;refDoc=2019-35897" xr:uid="{997A715B-BF85-42F7-A6A3-0150E469C7CB}"/>
    <hyperlink ref="AS72" r:id="rId17" display="http://www/edrs/pr/DisplayPR.asp?idEDR=1094069" xr:uid="{884A809D-B51C-4E6A-A2D1-07452CC132FD}"/>
    <hyperlink ref="AZ72" r:id="rId18" display="http://www/edrs/pr/DisplayPR.asp?idEDR=1110824" xr:uid="{1559A4BD-557F-46E3-A0EE-C90707A9F29F}"/>
    <hyperlink ref="BA72" r:id="rId19" display="http://www/edrs/pr/DisplayPR.asp?idEDR=1187441" xr:uid="{A5259268-6CB2-46FE-8C9A-F98213CF61CF}"/>
    <hyperlink ref="AO80" r:id="rId20" display="http://www/edrs/pr/DisplayPR.asp?idEDR=1021522" xr:uid="{058A2B5C-55A5-496F-AAAE-C04BCB1B9226}"/>
    <hyperlink ref="AS80" r:id="rId21" display="http://www/edrs/pr/DisplayPR.asp?idEDR=1094074" xr:uid="{EEC2B07E-13EA-4AE4-A2DD-332DA4A0756F}"/>
    <hyperlink ref="AZ80" r:id="rId22" display="http://www/edrs/pr/DisplayPR.asp?idEDR=1112318" xr:uid="{13B0A284-A676-4E93-9F3E-7523EDD7A128}"/>
    <hyperlink ref="BA80" r:id="rId23" display="http://www/edrs/pr/DisplayPR.asp?idEDR=1184485" xr:uid="{E7CD6F11-A031-494F-A65C-4A9845DF8EDF}"/>
    <hyperlink ref="AO73" r:id="rId24" display="http://www/edrs/pr/DisplayPRRef.asp?idEDR=1041711&amp;refDoc=2019-35903" xr:uid="{204C828D-EAFD-4E62-8358-FEC7FFA71FFB}"/>
    <hyperlink ref="AS73" r:id="rId25" display="http://www/edrs/pr/DisplayPR.asp?idEDR=1094075" xr:uid="{2A7595E2-9271-4664-B633-25FDEDE4235C}"/>
    <hyperlink ref="BA73" r:id="rId26" display="http://www/edrs/pr/DisplayPR.asp?idEDR=1188367" xr:uid="{BBA4D936-ECA1-45A9-A40F-3228DAC5D8D3}"/>
    <hyperlink ref="AZ73" r:id="rId27" display="http://www/edrs/pr/DisplayPR.asp?idEDR=1123751" xr:uid="{339B6F10-98FF-4F05-8C54-08D8CF063F7B}"/>
    <hyperlink ref="AO60" r:id="rId28" display="http://www.utility.pge.com/edrs/pr/DisplayPRRef.asp?idEDR=1043411&amp;refDoc=2019-32239" xr:uid="{58AF205C-84B8-4240-8885-CB90F3769B27}"/>
    <hyperlink ref="AZ60" r:id="rId29" display="http://www/edrs/pr/DisplayPR.asp?idEDR=1144534" xr:uid="{1AD4F967-4EF1-4972-87CA-CC09DCAC99B0}"/>
    <hyperlink ref="BA60" r:id="rId30" display="http://www/edrs/pr/DisplayPR.asp?idEDR=1171334" xr:uid="{8CA1EF92-3242-4997-9A8E-79467F2AEFDE}"/>
    <hyperlink ref="AS60" r:id="rId31" display="http://www/edrs/pr/DisplayPR.asp?idEDR=1134517" xr:uid="{9D9040C6-B24C-4E65-B7DF-CF4BFF17C7B6}"/>
    <hyperlink ref="AZ62" r:id="rId32" display="http://www/edrs/pr/DisplayPR.asp?idEDR=1147261" xr:uid="{E02ECAFD-A501-430A-BE43-3A87DD47F0B7}"/>
    <hyperlink ref="BA62" r:id="rId33" display="http://www/edrs/pr/DisplayPR.asp?idEDR=1187485" xr:uid="{12C7E0E8-4709-4A03-A264-2CDD60C8C81E}"/>
    <hyperlink ref="BK62" r:id="rId34" display="http://www/edrs/pr/DisplayPR.asp?idEDR=1145145" xr:uid="{87DB62FA-C565-445B-BCB0-9EDEA64CADAB}"/>
    <hyperlink ref="AO62" r:id="rId35" display="http://www/edrs/pr/DisplayPR.asp?idEDR=1043422" xr:uid="{2B9716A0-6808-473C-9AA4-3F9C6A23068B}"/>
    <hyperlink ref="AS62" r:id="rId36" display="http://www/edrs/pr/DisplayPR.asp?idEDR=1134520" xr:uid="{C1D9DC73-C2A8-4064-A59A-8FA055B56F71}"/>
    <hyperlink ref="AO191" r:id="rId37" display="http://www/edrs/pr/DisplayPRRef.asp?idEDR=1018937&amp;refDoc=2019-35904" xr:uid="{4A4A8EB3-CB2E-4DC8-8AE4-18C79D82AFA7}"/>
    <hyperlink ref="AS191" r:id="rId38" display="http://www/edrs/pr/DisplayPR.asp?idEDR=1094076" xr:uid="{BB33F473-A7F6-432E-AEFB-73B0E7F26E6C}"/>
    <hyperlink ref="AZ191" r:id="rId39" display="http://www/edrs/pr/DisplayPR.asp?idEDR=1122550" xr:uid="{53AD185C-239F-4484-BF46-AC0EE6CA393C}"/>
    <hyperlink ref="BA191" r:id="rId40" display="http://www/edrs/pr/DisplayPR.asp?idEDR=1186278" xr:uid="{266B5148-4A06-4E2A-AF55-B68B666C7351}"/>
    <hyperlink ref="AO59" r:id="rId41" display="http://www/edrs/pr/DisplayPR.asp?idEDR=1008603" xr:uid="{049F2A46-7558-44BD-8BA4-2132C2EF8F21}"/>
    <hyperlink ref="AZ59" r:id="rId42" display="http://www/edrs/pr/DisplayPR.asp?idEDR=1121120" xr:uid="{2A89F5EB-0592-4E96-81C6-354C9236B418}"/>
    <hyperlink ref="BA59" r:id="rId43" display="http://www/edrs/pr/DisplayPR.asp?idEDR=1176943" xr:uid="{DFC42E4D-7033-475F-B424-B60AB5386B78}"/>
    <hyperlink ref="AO180" r:id="rId44" display="http://www/edrs/pr/DisplayPR.asp?idEDR=1015664" xr:uid="{F989A57E-29B5-4C40-895B-1C97A93708F8}"/>
    <hyperlink ref="AS180" r:id="rId45" display="http://www/edrs/pr/DisplayPR.asp?idEDR=1086933" xr:uid="{1357B8BE-344F-4CFE-8EFA-F70CECC04FF0}"/>
    <hyperlink ref="AZ180" r:id="rId46" display="http://www/edrs/pr/DisplayPR.asp?idEDR=1097546" xr:uid="{6C5DA4DB-D8F8-40B6-BFB4-004028DB1669}"/>
    <hyperlink ref="BA180" r:id="rId47" display="http://www/edrs/pr/DisplayPR.asp?idEDR=1166495" xr:uid="{E37D0D5C-9D63-4ED5-B0BD-570928DB95C1}"/>
    <hyperlink ref="AO66" r:id="rId48" display="http://www/edrs/pr/DisplayPRRef.asp?idEDR=1008116&amp;refDoc=2019-35977" xr:uid="{C48BC71F-74EF-4513-84D3-153797112926}"/>
    <hyperlink ref="BA66" r:id="rId49" display="http://www/edrs/pr/DisplayPR.asp?idEDR=1180011" xr:uid="{9782ED99-8675-4E07-AD35-ABB0834FE08A}"/>
    <hyperlink ref="AZ66" r:id="rId50" display="http://www/edrs/pr/DisplayPR.asp?idEDR=1161218" xr:uid="{5AABF42F-CC57-4B1C-8072-D0A6EE304C1A}"/>
    <hyperlink ref="AO67" r:id="rId51" display="http://www/edrs/pr/DisplayPRRef.asp?idEDR=1013028&amp;refDoc=2019-35972" xr:uid="{1871F197-4AFE-405A-BEC8-AA833F2F0AF3}"/>
    <hyperlink ref="AS67" r:id="rId52" display="http://www/edrs/pr/DisplayPR.asp?idEDR=1094144" xr:uid="{C4BC81E6-AC94-4E6C-A554-4E368565A5F4}"/>
    <hyperlink ref="AZ67" r:id="rId53" display="http://www/edrs/pr/DisplayPR.asp?idEDR=1131379" xr:uid="{7F9928A0-AA92-45A1-B796-4D486CEB5087}"/>
    <hyperlink ref="BA67" r:id="rId54" display="http://www/edrs/pr/DisplayPR.asp?idEDR=1184309" xr:uid="{E99B1C39-0594-44F4-9E0A-E96F85FA1AA5}"/>
    <hyperlink ref="AO77" r:id="rId55" display="http://www/edrs/pr/DisplayPRRef.asp?idEDR=1022911&amp;refDoc=2020-02712" xr:uid="{9E0087BB-CB30-44AB-B33F-39066FB79359}"/>
    <hyperlink ref="AZ77" r:id="rId56" display="http://www/edrs/pr/DisplayPR.asp?idEDR=1140525" xr:uid="{A80A3D6E-45B7-412E-BD69-A597245DA9BA}"/>
    <hyperlink ref="BA77" r:id="rId57" display="http://www/edrs/pr/DisplayPR.asp?idEDR=1174932" xr:uid="{FC5826B7-9578-412C-81ED-4221B02F9C8C}"/>
    <hyperlink ref="AO69" r:id="rId58" display="http://www/edrs/pr/DisplayPRRef.asp?idEDR=1033800&amp;refDoc=2019-35897" xr:uid="{85D8C98C-A7FE-4C64-BCAA-1B2DDBE6205E}"/>
    <hyperlink ref="AS69" r:id="rId59" display="http://www/edrs/pr/DisplayPR.asp?idEDR=1094069" xr:uid="{A1D1411E-5E7B-49ED-BD77-A1C66E3825B0}"/>
    <hyperlink ref="BA69" r:id="rId60" display="http://www/edrs/pr/DisplayPR.asp?idEDR=1181065" xr:uid="{E076F8F7-D233-4B6B-810E-CA51EAD76B69}"/>
    <hyperlink ref="AZ69" r:id="rId61" display="http://www/edrs/pr/DisplayPR.asp?idEDR=1137663" xr:uid="{A6E16D72-71A5-43E6-A758-2A123A92963D}"/>
    <hyperlink ref="AO71" r:id="rId62" display="http://www/edrs/pr/DisplayPRRef.asp?idEDR=1033800&amp;refDoc=2019-35897" xr:uid="{ED2A9B6D-BAB2-4700-9FDF-E09011A4E119}"/>
    <hyperlink ref="AS71" r:id="rId63" display="http://www/edrs/pr/DisplayPR.asp?idEDR=1094069" xr:uid="{73C39EDE-A458-4855-9B97-1E4E24364336}"/>
    <hyperlink ref="BA71" r:id="rId64" display="http://www/edrs/pr/DisplayPR.asp?idEDR=1167933" xr:uid="{B4F0B0E9-1D19-46BB-87E0-FB76FAD2EFA3}"/>
    <hyperlink ref="AZ71" r:id="rId65" display="http://www/edrs/pr/DisplayPR.asp?idEDR=1196870" xr:uid="{B23F08E4-20B9-4CF1-997B-F33B5E880FCE}"/>
    <hyperlink ref="AO68" r:id="rId66" display="http://www/edrs/pr/DisplayPRRef.asp?idEDR=1041711&amp;refDoc=2019-35903" xr:uid="{DB50DECF-039E-4112-89C1-EF9035FB0C1B}"/>
    <hyperlink ref="AS68" r:id="rId67" display="http://www/edrs/pr/DisplayPR.asp?idEDR=1094075" xr:uid="{6A368B89-7BE8-4F67-82A2-BB3779767BA3}"/>
    <hyperlink ref="AZ68" r:id="rId68" display="http://www/edrs/pr/DisplayPR.asp?idEDR=1111470" xr:uid="{DB94F678-F953-48F8-9011-CD23D5D2A2A6}"/>
    <hyperlink ref="BA68" r:id="rId69" xr:uid="{8BD1A8CB-E2AD-49C3-B33F-1A80D00B52EC}"/>
    <hyperlink ref="AO70" r:id="rId70" display="http://www/edrs/pr/DisplayPRRef.asp?idEDR=1041711&amp;refDoc=2019-35903" xr:uid="{3142EBF5-0699-4A35-9CD1-3CF73AF5E82A}"/>
    <hyperlink ref="AS70" r:id="rId71" display="http://www/edrs/pr/DisplayPR.asp?idEDR=1094075" xr:uid="{E4E7B029-3C81-4083-B788-A701E209CF18}"/>
    <hyperlink ref="AZ70" r:id="rId72" display="http://www/edrs/pr/DisplayPR.asp?idEDR=1126922" xr:uid="{6B043A79-F4A0-4B67-B2B8-E16F56A199C8}"/>
    <hyperlink ref="BA70" r:id="rId73" display="http://www/edrs/pr/DisplayPR.asp?idEDR=1175217" xr:uid="{5AF1CA80-70DA-4D6D-B9BF-2888FEE88911}"/>
    <hyperlink ref="AO63" r:id="rId74" display="http://www.utility.pge.com/edrs/pr/DisplayPRRef.asp?idEDR=1043422&amp;refDoc=2019-32244" xr:uid="{BEAD89C9-36EC-44B7-B323-29525F13C7DE}"/>
    <hyperlink ref="BA63" r:id="rId75" display="http://www/edrs/pr/DisplayPR.asp?idEDR=1187038" xr:uid="{52B361BC-4AD9-4526-9A39-A7F15B932339}"/>
    <hyperlink ref="AZ63" r:id="rId76" display="http://www/edrs/pr/DisplayPR.asp?idEDR=1164021" xr:uid="{EC5D12AD-F0D3-4A77-88B8-A361DC4016F7}"/>
    <hyperlink ref="BK63" r:id="rId77" display="http://www/edrs/pr/DisplayPR.asp?idEDR=1179223" xr:uid="{A47D8C4F-6EC4-44F3-8510-15F1CA4C6B72}"/>
    <hyperlink ref="AS63" r:id="rId78" display="http://www/edrs/pr/DisplayPR.asp?idEDR=1134520" xr:uid="{58BE73D7-10CC-4D61-AF62-7B7BD45C2E94}"/>
    <hyperlink ref="AO64" r:id="rId79" display="http://www/edrs/pr/DisplayPRRef.asp?idEDR=1017777&amp;refDoc=2019-35887" xr:uid="{E113536D-54AE-4ACF-8F40-113ADCD7C477}"/>
    <hyperlink ref="AS64" r:id="rId80" display="http://www/edrs/pr/DisplayPR.asp?idEDR=1094059" xr:uid="{A462002A-866B-4979-938F-849F07F7E3D3}"/>
    <hyperlink ref="AZ64" r:id="rId81" display="http://www/edrs/pr/DisplayPR.asp?idEDR=1118390" xr:uid="{337DFDE6-2F06-41F2-8391-3130C9E1F2D7}"/>
    <hyperlink ref="BA64" r:id="rId82" display="http://www/edrs/pr/DisplayPR.asp?idEDR=1166218" xr:uid="{E3AA592E-BF69-483A-8856-96334109CB49}"/>
    <hyperlink ref="AO65" r:id="rId83" display="http://www/edrs/pr/DisplayPRRef.asp?idEDR=1017777&amp;refDoc=2019-35887" xr:uid="{DA942AEB-C14E-4637-AE6E-DA1CB80537DC}"/>
    <hyperlink ref="AS65" r:id="rId84" display="http://www/edrs/pr/DisplayPR.asp?idEDR=1094059" xr:uid="{9B231DB9-B5B8-42B6-A85B-8B4824502537}"/>
    <hyperlink ref="AZ65" r:id="rId85" display="http://www/edrs/pr/DisplayPR.asp?idEDR=1141486" xr:uid="{801A7BBD-BDEB-4734-A2E2-9771C72F46E4}"/>
    <hyperlink ref="BA65" r:id="rId86" display="http://www/edrs/pr/DisplayPR.asp?idEDR=1189105" xr:uid="{EEF3E9CF-9BD0-4DD5-BED6-362282B957AD}"/>
    <hyperlink ref="AO74" r:id="rId87" display="http://www/edrs/pr/DisplayPR.asp?idEDR=1030037" xr:uid="{9435FBB5-2D5E-4EA5-A61F-524CB7D6DC2A}"/>
    <hyperlink ref="AS74" r:id="rId88" display="http://www/edrs/pr/DisplayPR.asp?idEDR=1094065" xr:uid="{2549723F-BA43-4F6F-B22B-E5E9DF52EF3F}"/>
    <hyperlink ref="AZ74" r:id="rId89" display="http://www/edrs/pr/DisplayPR.asp?idEDR=1122485" xr:uid="{FE70B0DC-8FEF-41CD-917F-8A969437AF1A}"/>
    <hyperlink ref="BA74" r:id="rId90" display="http://www/edrs/pr/DisplayPR.asp?idEDR=1158910" xr:uid="{5CA2DF08-371B-4AC1-9820-E99850F7F6DA}"/>
    <hyperlink ref="AO75" r:id="rId91" display="http://www/edrs/pr/DisplayPR.asp?idEDR=1030037" xr:uid="{79DD51B3-96D8-43A3-8671-EB553DF80EFE}"/>
    <hyperlink ref="AS75" r:id="rId92" display="http://www/edrs/pr/DisplayPR.asp?idEDR=1094065" xr:uid="{F758817E-E6BB-42DF-BCDF-C8DBCB289C39}"/>
    <hyperlink ref="AZ75" r:id="rId93" display="http://www/edrs/pr/DisplayPR.asp?idEDR=1115949" xr:uid="{3B858519-2C01-4343-801D-4D4F967859F4}"/>
    <hyperlink ref="BA75" r:id="rId94" display="http://www/edrs/pr/DisplayPR.asp?idEDR=1184874" xr:uid="{5A939237-2252-4D78-B425-E96AC7B75E07}"/>
    <hyperlink ref="AO78" r:id="rId95" display="http://www/edrs/pr/DisplayPRRef.asp?idEDR=1019313&amp;refDoc=2019-35889" xr:uid="{3C939937-5B94-4754-AC89-8645CB820653}"/>
    <hyperlink ref="AS78" r:id="rId96" display="http://www/edrs/pr/DisplayPR.asp?idEDR=1094061" xr:uid="{AEC3AD33-4FCD-421A-AEC5-3DD825574702}"/>
    <hyperlink ref="AZ78" r:id="rId97" display="http://www/edrs/pr/DisplayPR.asp?idEDR=1152484" xr:uid="{B26A0A71-47F8-485C-BB3B-5ADB44192209}"/>
    <hyperlink ref="BA78" r:id="rId98" display="http://www/edrs/pr/DisplayPR.asp?idEDR=1175358" xr:uid="{DDFEF6DE-F7C0-4CC1-9A1E-FA75D29BFB00}"/>
    <hyperlink ref="AO79" r:id="rId99" display="http://www/edrs/pr/DisplayPRRef.asp?idEDR=1019313&amp;refDoc=2019-35889" xr:uid="{0BF6B50F-F3BB-43FA-96DE-230A7AADEE1C}"/>
    <hyperlink ref="AS79" r:id="rId100" display="http://www/edrs/pr/DisplayPR.asp?idEDR=1094061" xr:uid="{8DC3D11C-36BE-4A24-B437-E216CADFC0A9}"/>
    <hyperlink ref="AZ79" r:id="rId101" display="http://www/edrs/pr/DisplayPR.asp?idEDR=1115908" xr:uid="{A9AE451E-56D5-4B44-A97F-D0D54B225289}"/>
    <hyperlink ref="BA79" r:id="rId102" display="http://www/edrs/pr/DisplayPR.asp?idEDR=1168271" xr:uid="{2CB9D5F9-E0F3-42D1-9937-B0ED0293FEAB}"/>
    <hyperlink ref="AO76" r:id="rId103" display="http://www/edrs/pr/DisplayPR.asp?idEDR=1014080" xr:uid="{F926F2C4-6CBA-46FA-82F6-7EFBF0D43D3C}"/>
    <hyperlink ref="AS76" r:id="rId104" display="http://www/edrs/pr/DisplayPR.asp?idEDR=1094072" xr:uid="{5E531AF3-4FC7-4755-9EF2-15736DD73A8D}"/>
    <hyperlink ref="BA76" r:id="rId105" display="http://www.utility.pge.com/edrs/pr/DisplayPR.asp?idEDR=1159014" xr:uid="{770559F4-9798-4B29-8011-A4AFBC129DB8}"/>
    <hyperlink ref="AZ76" r:id="rId106" display="http://www/edrs/pr/DisplayPR.asp?idEDR=1186446" xr:uid="{D43BDC0F-B586-4A8F-9556-4464427C8E9A}"/>
    <hyperlink ref="AO61" r:id="rId107" display="http://www.utility.pge.com/edrs/pr/DisplayPR.asp?idEDR=1043446" xr:uid="{132B9528-D4AA-4AB6-89C9-2F042273B69F}"/>
    <hyperlink ref="BA61" r:id="rId108" display="http://www/edrs/pr/DisplayPR.asp?idEDR=1183544" xr:uid="{725E31DC-AFFC-42C4-A319-1A6AB8EB3B7E}"/>
    <hyperlink ref="AZ61" r:id="rId109" display="http://www/edrs/pr/DisplayPR.asp?idEDR=1173147" xr:uid="{FE3B7F42-6CE8-471B-8A56-A2BF280BDF7C}"/>
    <hyperlink ref="AS61" r:id="rId110" display="http://www/edrs/pr/DisplayPR.asp?idEDR=1134525" xr:uid="{BA9B3489-8474-441F-94B4-B2DD8F500B75}"/>
    <hyperlink ref="AO103" r:id="rId111" display="http://www/edrs/pr/DisplayPR.asp?idEDR=1201761" xr:uid="{1629EE9C-0E0E-467D-B8E3-FE6ED1DEB440}"/>
    <hyperlink ref="AN103" r:id="rId112" display="http://www/edrs/pr/DisplayPR.asp?idEDR=1201754" xr:uid="{526C020D-3829-45B1-B936-8CFF464899C3}"/>
    <hyperlink ref="AO58" r:id="rId113" display="http://www/edrs/pr/DisplayPR.asp?idEDR=990049" xr:uid="{86A8D433-2DEF-47E3-B3D2-1F8CF6F76B9D}"/>
    <hyperlink ref="AS58" r:id="rId114" display="http://www.utility.pge.com/edrs/pr/DisplayPR.asp?idEDR=1011934" xr:uid="{8DC147A6-F609-4C8C-8114-21176AE2FF60}"/>
    <hyperlink ref="AZ58" r:id="rId115" display="http://www/edrs/pr/DisplayPR.asp?idEDR=1136951" xr:uid="{B9628431-CAF9-4769-A419-C18EF48AF8F2}"/>
    <hyperlink ref="BA58" r:id="rId116" display="http://www/edrs/pr/DisplayPR.asp?idEDR=1164583" xr:uid="{4429F789-1BD6-4AAE-AE73-E7AAE7DEE1E1}"/>
    <hyperlink ref="AZ57" r:id="rId117" xr:uid="{2682D049-0920-4986-B7FD-A154B8315F5F}"/>
    <hyperlink ref="BA57" r:id="rId118" xr:uid="{3300FFDB-D7CD-4D02-9DDA-BA1D4B3276E1}"/>
    <hyperlink ref="AO189" r:id="rId119" display="http://www/edrs/pr/DisplayPR.asp?idEDR=1138843" xr:uid="{599E9042-5805-453C-9724-61E0895338C7}"/>
    <hyperlink ref="AZ189" r:id="rId120" display="http://www/edrs/pr/DisplayPR.asp?idEDR=1179183" xr:uid="{68A66F67-4B93-408E-9F70-041675DC2F09}"/>
    <hyperlink ref="AO82" r:id="rId121" display="http://www/edrs/pr/DisplayPR.asp?idEDR=1138775" xr:uid="{5BB74A5C-09E1-4EAE-8B32-59EFF163ED12}"/>
    <hyperlink ref="AZ82" r:id="rId122" display="http://www/edrs/pr/DisplayPR.asp?idEDR=1183276" xr:uid="{98B2F5AE-28BB-4AD3-8D05-9093F94EE7AA}"/>
    <hyperlink ref="AO181" r:id="rId123" display="http://www/edrs/pr/DisplayPR.asp?idEDR=1137321" xr:uid="{D3F336AD-4569-457D-BC90-668F2D5F1440}"/>
    <hyperlink ref="AO86" r:id="rId124" display="http://www/edrs/pr/DisplayPR.asp?idEDR=1140553" xr:uid="{0A9360AA-DD67-4E6C-B331-E6121A76CB4B}"/>
    <hyperlink ref="AZ86" r:id="rId125" display="http://www/edrs/pr/DisplayPR.asp?idEDR=1188875" xr:uid="{AD9B3F9E-B576-4AA0-A57A-5DAC85683915}"/>
    <hyperlink ref="AO182" r:id="rId126" display="http://www/edrs/pr/DisplayPR.asp?idEDR=1137049" xr:uid="{D1370E8D-07B6-46B2-8AFF-053A292D2D3A}"/>
    <hyperlink ref="AZ182" r:id="rId127" display="http://www/edrs/pr/DisplayPR.asp?idEDR=1159397" xr:uid="{67961924-4B9F-499A-B795-F2A9831885F4}"/>
    <hyperlink ref="AO183" r:id="rId128" display="http://www/edrs/pr/DisplayPR.asp?idEDR=1137124" xr:uid="{F33C7062-B653-42C0-9BE4-9D31FDA717CD}"/>
    <hyperlink ref="AO184" r:id="rId129" display="http://www/edrs/pr/DisplayPR.asp?idEDR=1137132" xr:uid="{25890000-BDD4-4268-881F-FBEEB235C2F1}"/>
    <hyperlink ref="AZ184" r:id="rId130" display="http://www/edrs/pr/DisplayPR.asp?idEDR=1174199" xr:uid="{2149980E-FA1F-4614-B5F5-56BD579DF1E5}"/>
    <hyperlink ref="AO185" r:id="rId131" display="http://www/edrs/pr/DisplayPR.asp?idEDR=1147914" xr:uid="{A33197CC-C1D1-45C1-A35F-0B6644A27FB5}"/>
    <hyperlink ref="AZ185" r:id="rId132" display="http://www/edrs/pr/DisplayPR.asp?idEDR=1186444" xr:uid="{9DF8D9CA-A457-4147-933C-FD5099E3B4C3}"/>
    <hyperlink ref="AO186" r:id="rId133" display="http://www/edrs/pr/DisplayPR.asp?idEDR=1144134" xr:uid="{E21F3D23-D8A9-45E0-B305-FC86ADC9A53F}"/>
    <hyperlink ref="AO187" r:id="rId134" display="http://www/edrs/pr/DisplayPR.asp?idEDR=1137194" xr:uid="{ADE41341-43F5-4529-85DC-D0007FD90E60}"/>
    <hyperlink ref="AZ187" r:id="rId135" display="http://www/edrs/pr/DisplayPR.asp?idEDR=1171859" xr:uid="{D19100D4-215D-44A0-B7FD-050E337D88E5}"/>
    <hyperlink ref="AO85" r:id="rId136" display="http://www/edrs/pr/DisplayPR.asp?idEDR=1140554" xr:uid="{64434086-461B-4BD1-B9A4-75C5974D5AFC}"/>
    <hyperlink ref="AZ85" r:id="rId137" display="http://www/edrs/pr/DisplayPR.asp?idEDR=1191285" xr:uid="{476BA8CB-CB50-4B4F-9124-350119833ED1}"/>
    <hyperlink ref="BK85" r:id="rId138" display="http://www/edrs/pr/DisplayPR.asp?idEDR=1169286" xr:uid="{24996CC9-A029-4C69-838C-7EA1B4F3B968}"/>
    <hyperlink ref="AO56" r:id="rId139" display="http://www/edrs/pr/DisplayPR.asp?idEDR=1013801" xr:uid="{1FB7973A-8276-4EF8-9683-4096687DBD77}"/>
    <hyperlink ref="AZ56" r:id="rId140" display="http://www/edrs/pr/DisplayPR.asp?idEDR=1092916" xr:uid="{279B2EEC-3DCB-403C-A523-AC2E5EB41D4A}"/>
    <hyperlink ref="BA56" r:id="rId141" display="http://www/edrs/pr/DisplayPR.asp?idEDR=1060520" xr:uid="{44924FC1-ACF3-4E9F-952D-85A365C1156B}"/>
    <hyperlink ref="AO188" r:id="rId142" display="http://www/edrs/pr/DisplayPR.asp?idEDR=1137214" xr:uid="{C4D5FA2F-152B-4833-8783-161CB0488EC2}"/>
    <hyperlink ref="AZ188" r:id="rId143" display="http://www/edrs/pr/DisplayPR.asp?idEDR=1191717" xr:uid="{A704A8E3-D838-4397-AB9E-3532A015B3DB}"/>
    <hyperlink ref="AS15" r:id="rId144" display="http://www/edrs/pr/DisplayPR.asp?idEDR=1097532" xr:uid="{3C10034C-7F30-44E7-9239-39C9CDE5193F}"/>
    <hyperlink ref="AO90" r:id="rId145" display="http://www/edrs/pr/DisplayPR.asp?idEDR=1217520" xr:uid="{D5F31F45-8503-4CFE-A260-C49D3C4539C6}"/>
    <hyperlink ref="AO91" r:id="rId146" display="http://www/edrs/pr/DisplayPR.asp?idEDR=1217956" xr:uid="{9D7977FB-C91F-45F8-AC1C-52A6E5D6FF64}"/>
    <hyperlink ref="AO92" r:id="rId147" display="http://www/edrs/pr/DisplayPR.asp?idEDR=1218213" xr:uid="{29022AD2-AC67-4706-9503-17758E69768F}"/>
    <hyperlink ref="AN92" r:id="rId148" display="http://www/edrs/pr/DisplayPR.asp?idEDR=1218212" xr:uid="{17D2E458-0593-4280-8F05-3E25F188A942}"/>
    <hyperlink ref="AO94" r:id="rId149" display="http://www/edrs/pr/DisplayPR.asp?idEDR=1218700" xr:uid="{D15C81FC-C5A0-4F8A-AF66-1047B4F723F0}"/>
    <hyperlink ref="AN94" r:id="rId150" display="http://www/edrs/pr/DisplayPR.asp?idEDR=1218679" xr:uid="{38561564-AA27-4CEA-A8B3-F2DABC762A83}"/>
    <hyperlink ref="AO93" r:id="rId151" display="http://www/edrs/pr/DisplayPR.asp?idEDR=1218925" xr:uid="{6E143FFC-2F0B-4E71-A354-22D0FB11C89E}"/>
    <hyperlink ref="AN93" r:id="rId152" display="http://www/edrs/pr/DisplayPR.asp?idEDR=1218748" xr:uid="{97B209A4-2FBF-4FE2-82B5-B561A6961492}"/>
    <hyperlink ref="AN95" r:id="rId153" display="http://www/edrs/pr/DisplayPR.asp?idEDR=1193821" xr:uid="{95837B47-5740-4367-AF0B-86218FE89047}"/>
    <hyperlink ref="AN119" r:id="rId154" display="http://www/edrs/pr/DisplayPR.asp?idEDR=1028045" xr:uid="{493062E2-D5F6-48A3-B0D4-41ECBC807073}"/>
    <hyperlink ref="AO96" r:id="rId155" display="http://www/edrs/pr/DisplayPR.asp?idEDR=1219400" xr:uid="{E504C203-B97D-49EC-891C-AC2786433179}"/>
    <hyperlink ref="AO100" r:id="rId156" display="http://www/edrs/pr/DisplayPR.asp?idEDR=1218787" xr:uid="{05DBEE4A-4DD0-4C66-8FBC-9A6986A1A258}"/>
    <hyperlink ref="AO98" r:id="rId157" display="http://www/edrs/pr/DisplayPR.asp?idEDR=1217420" xr:uid="{8F63465A-5EEB-4FB5-A215-D0F5DE786414}"/>
    <hyperlink ref="AN98" r:id="rId158" display="http://www/edrs/pr/DisplayPR.asp?idEDR=1217416" xr:uid="{40A8D9CC-D30D-465E-8499-5B2382955D05}"/>
    <hyperlink ref="AO101" r:id="rId159" display="http://www/edrs/pr/DisplayPR.asp?idEDR=1206874" xr:uid="{B5BAF3C5-B863-4C88-9FD7-C66B7C5A36C5}"/>
    <hyperlink ref="AO102" r:id="rId160" display="http://www/edrs/pr/DisplayPR.asp?idEDR=1210217" xr:uid="{FAA40680-9D89-4DD2-BFFA-78E87E2375FC}"/>
    <hyperlink ref="AO110" r:id="rId161" display="http://www/edrs/pr/DisplayPR.asp?idEDR=1222407" xr:uid="{FEBC74E9-8998-4187-9BC2-E506CC513C64}"/>
    <hyperlink ref="AN110" r:id="rId162" display="http://www/edrs/pr/DisplayPR.asp?idEDR=1222400" xr:uid="{6CB613AE-F5B4-4681-82C4-228CB3B4D3C7}"/>
    <hyperlink ref="AO107" r:id="rId163" display="http://www/edrs/pr/DisplayPR.asp?idEDR=1221762" xr:uid="{6B08CFB0-A9C9-4D59-84E9-1A510CEE215A}"/>
    <hyperlink ref="AN107" r:id="rId164" display="http://www/edrs/pr/DisplayPR.asp?idEDR=1221830" xr:uid="{9D5C4906-B384-4507-BF6C-3A59A3A09EED}"/>
    <hyperlink ref="AO108" r:id="rId165" display="http://www/edrs/pr/DisplayPR.asp?idEDR=1222268" xr:uid="{27F08398-5EF1-4431-B4BD-72449CBA0D92}"/>
    <hyperlink ref="AN108" r:id="rId166" display="http://www/edrs/pr/DisplayPR.asp?idEDR=1222249" xr:uid="{D29C341F-BF87-42D1-8488-3E78DD0E0931}"/>
    <hyperlink ref="AO106" r:id="rId167" display="http://www/edrs/pr/DisplayPR.asp?idEDR=1223382" xr:uid="{8493A6DD-9933-492B-8F81-276CBB150359}"/>
    <hyperlink ref="AN106" r:id="rId168" display="http://www/edrs/pr/DisplayPR.asp?idEDR=1222184" xr:uid="{D6BD2D4E-6D49-4F14-8FC0-E65FFBA6757B}"/>
    <hyperlink ref="AO105" r:id="rId169" display="http://www/edrs/pr/DisplayPR.asp?idEDR=1222632" xr:uid="{E596A708-E43B-4E3E-A5A8-5388A507D02A}"/>
    <hyperlink ref="AN105" r:id="rId170" display="http://www/edrs/pr/DisplayPR.asp?idEDR=1222616" xr:uid="{3401E673-780B-49B1-8497-CABF1FF94253}"/>
    <hyperlink ref="AO179" r:id="rId171" display="http://www/edrs/pr/DisplayPR.asp?idEDR=1027825" xr:uid="{1D0117E2-A060-4EA4-97A5-CC71BC3C45D1}"/>
    <hyperlink ref="AZ179" r:id="rId172" display="http://www/edrs/pr/DisplayPR.asp?idEDR=1093543" xr:uid="{3774F369-4E26-4734-BEB7-C7A365EF4D7C}"/>
    <hyperlink ref="BA179" r:id="rId173" display="http://www/edrs/pr/DisplayPR.asp?idEDR=1092537" xr:uid="{4B6D08E1-89A5-4953-95F9-86DA0E31B9B5}"/>
    <hyperlink ref="AO109" r:id="rId174" display="http://www/edrs/pr/DisplayPR.asp?idEDR=1224442" xr:uid="{73988311-384C-40C7-BC40-A83DBE943C70}"/>
    <hyperlink ref="AO124" r:id="rId175" display="http://www/edrs/pr/DisplayPR.asp?idEDR=1225191" xr:uid="{7A373D56-5ACC-4AB7-9877-2D91DF53E1BF}"/>
    <hyperlink ref="AO81" r:id="rId176" display="http://www/edrs/pr/DisplayPR.asp?idEDR=1000610" xr:uid="{A3A26031-2047-4AE4-B3A8-1F34A2EB287E}"/>
    <hyperlink ref="AZ81" r:id="rId177" display="http://www/edrs/pr/DisplayPR.asp?idEDR=1187466" xr:uid="{4AB9C8FE-E078-47D1-866B-8041E550BCD1}"/>
    <hyperlink ref="BA81" r:id="rId178" display="http://www/edrs/pr/DisplayPR.asp?idEDR=1195550" xr:uid="{72715C83-B18F-41F1-817B-B9FCF7B0F31B}"/>
    <hyperlink ref="AO83" r:id="rId179" display="http://www/edrs/pr/DisplayPRRef.asp?idEDR=1017777&amp;refDoc=2019-35887" xr:uid="{5D14D913-BA4C-4242-8EA5-C5B6BBF51061}"/>
    <hyperlink ref="AS83" r:id="rId180" display="http://www/edrs/pr/DisplayPR.asp?idEDR=1094059" xr:uid="{2A886D3D-A79E-4DEA-AC6F-8CA14AFC669D}"/>
    <hyperlink ref="AZ83" r:id="rId181" display="http://www/edrs/pr/DisplayPR.asp?idEDR=1121855" xr:uid="{A4CE39C8-F505-4AB4-A5BE-A97432D88E47}"/>
    <hyperlink ref="BA83" r:id="rId182" display="http://www/edrs/pr/DisplayPR.asp?idEDR=1167934" xr:uid="{6F8CE184-F4DE-4068-9961-DC8717933CC2}"/>
    <hyperlink ref="AO84" r:id="rId183" display="http://www/edrs/pr/DisplayPRRef.asp?idEDR=1010763&amp;refDoc=2019-35971" xr:uid="{23BBBF80-91AC-4825-9A4E-8E3DA1D6F692}"/>
    <hyperlink ref="AS84" r:id="rId184" display="http://www/edrs/pr/DisplayPR.asp?idEDR=1094143" xr:uid="{A4E73118-0735-4E7C-8215-F4AFF5C728DF}"/>
    <hyperlink ref="AZ84" r:id="rId185" display="http://www/edrs/pr/DisplayPR.asp?idEDR=1183592" xr:uid="{FD4A0F99-9B3C-414B-9FA6-FD8BD41219FE}"/>
    <hyperlink ref="AO104" r:id="rId186" display="http://www/edrs/pr/DisplayPR.asp?idEDR=1228414" xr:uid="{BCCCAC05-1F2D-404E-9F7F-BE16721D9456}"/>
    <hyperlink ref="AO111" r:id="rId187" display="http://www/edrs/pr/DisplayPR.asp?idEDR=1228419" xr:uid="{128DC0D7-11F6-469F-8836-C0A4FBF961FB}"/>
    <hyperlink ref="AO112" r:id="rId188" display="http://www/edrs/pr/DisplayPR.asp?idEDR=1228423" xr:uid="{37FEA7D2-B8C5-4F68-A22E-957A52F47387}"/>
    <hyperlink ref="AO113" r:id="rId189" display="http://www/edrs/pr/DisplayPR.asp?idEDR=1228425" xr:uid="{76F88009-4ACC-4905-82B5-1F0912220C91}"/>
    <hyperlink ref="AO114" r:id="rId190" display="http://www/edrs/pr/DisplayPR.asp?idEDR=1228427" xr:uid="{F31A40D4-A2D9-40C7-BBCF-19605F35BB6C}"/>
  </hyperlinks>
  <pageMargins left="0.7" right="0.7" top="0.75" bottom="0.75" header="0.3" footer="0.3"/>
  <pageSetup orientation="portrait" r:id="rId191"/>
  <headerFooter>
    <oddFooter>&amp;C&amp;"arial,Bold"Internal</oddFooter>
    <evenFooter>&amp;C&amp;"arial,Bold"Internal</evenFooter>
    <firstFooter>&amp;C&amp;"arial,Bold"Internal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B13" sqref="B13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9.8554687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5554</v>
      </c>
      <c r="K2" s="66" t="s">
        <v>5372</v>
      </c>
    </row>
    <row r="3" spans="3:22" ht="34.5" customHeight="1" x14ac:dyDescent="0.25">
      <c r="C3" s="77" t="s">
        <v>4822</v>
      </c>
      <c r="D3" s="76" t="s">
        <v>5371</v>
      </c>
      <c r="E3" s="75" t="s">
        <v>8</v>
      </c>
      <c r="F3" s="71" t="s">
        <v>5368</v>
      </c>
      <c r="K3" s="77" t="s">
        <v>5373</v>
      </c>
      <c r="L3" s="76" t="s">
        <v>5371</v>
      </c>
      <c r="M3" s="76" t="s">
        <v>5377</v>
      </c>
      <c r="N3" s="75" t="s">
        <v>8</v>
      </c>
      <c r="O3" s="71" t="s">
        <v>5368</v>
      </c>
      <c r="Q3" s="85"/>
      <c r="R3" s="85" t="s">
        <v>5383</v>
      </c>
      <c r="S3" s="97" t="s">
        <v>5384</v>
      </c>
      <c r="T3" s="97" t="s">
        <v>5385</v>
      </c>
      <c r="U3" s="97" t="s">
        <v>5404</v>
      </c>
      <c r="V3" s="97" t="s">
        <v>5405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5378</v>
      </c>
      <c r="L4" s="81">
        <v>62</v>
      </c>
      <c r="M4" s="78">
        <f>L4/D10</f>
        <v>0.6262626262626263</v>
      </c>
      <c r="N4" s="74">
        <v>178.86</v>
      </c>
      <c r="O4" s="72"/>
      <c r="Q4" t="s">
        <v>5379</v>
      </c>
      <c r="R4" s="79" t="s">
        <v>5386</v>
      </c>
      <c r="S4" s="79" t="s">
        <v>5395</v>
      </c>
      <c r="U4" s="95"/>
    </row>
    <row r="5" spans="3:22" x14ac:dyDescent="0.25">
      <c r="C5" s="68" t="s">
        <v>5369</v>
      </c>
      <c r="D5" s="81">
        <v>4</v>
      </c>
      <c r="E5" s="74">
        <v>4.38</v>
      </c>
      <c r="F5" s="72"/>
      <c r="K5" s="68" t="s">
        <v>5374</v>
      </c>
      <c r="L5" s="81">
        <v>24</v>
      </c>
      <c r="M5" s="78">
        <f>L5/D10</f>
        <v>0.24242424242424243</v>
      </c>
      <c r="N5" s="74">
        <v>36.19</v>
      </c>
      <c r="O5" s="72"/>
      <c r="Q5" t="s">
        <v>5380</v>
      </c>
      <c r="R5" s="79" t="s">
        <v>5386</v>
      </c>
      <c r="S5" s="79" t="s">
        <v>5396</v>
      </c>
    </row>
    <row r="6" spans="3:22" s="65" customFormat="1" x14ac:dyDescent="0.25">
      <c r="C6" s="68" t="s">
        <v>5135</v>
      </c>
      <c r="D6" s="81">
        <v>4</v>
      </c>
      <c r="E6" s="67">
        <v>6.38</v>
      </c>
      <c r="F6" s="72"/>
      <c r="K6" s="68" t="s">
        <v>5375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5381</v>
      </c>
      <c r="R6" s="79" t="s">
        <v>5389</v>
      </c>
      <c r="S6" s="79" t="s">
        <v>5397</v>
      </c>
    </row>
    <row r="7" spans="3:22" ht="15.75" thickBot="1" x14ac:dyDescent="0.3">
      <c r="C7" s="68" t="s">
        <v>5370</v>
      </c>
      <c r="D7" s="81">
        <v>1</v>
      </c>
      <c r="E7" s="67">
        <v>1.47</v>
      </c>
      <c r="F7" s="72"/>
      <c r="K7" s="69" t="s">
        <v>5376</v>
      </c>
      <c r="L7" s="82">
        <v>27</v>
      </c>
      <c r="M7" s="84">
        <f>L7/D10</f>
        <v>0.27272727272727271</v>
      </c>
      <c r="N7" s="83">
        <v>43.71</v>
      </c>
      <c r="O7" s="73"/>
      <c r="Q7" t="s">
        <v>5391</v>
      </c>
      <c r="R7" s="79" t="s">
        <v>5389</v>
      </c>
      <c r="S7" s="96" t="s">
        <v>5398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5390</v>
      </c>
      <c r="R8" s="79" t="s">
        <v>5392</v>
      </c>
      <c r="S8" s="79" t="s">
        <v>5399</v>
      </c>
    </row>
    <row r="9" spans="3:22" ht="15.75" thickBot="1" x14ac:dyDescent="0.3">
      <c r="C9" s="69" t="s">
        <v>4966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5382</v>
      </c>
      <c r="R9" s="79" t="s">
        <v>5392</v>
      </c>
      <c r="S9" s="79" t="s">
        <v>5400</v>
      </c>
    </row>
    <row r="10" spans="3:22" ht="15.75" thickBot="1" x14ac:dyDescent="0.3">
      <c r="C10" s="69" t="s">
        <v>5367</v>
      </c>
      <c r="D10" s="70">
        <f>SUM(D4:D9)</f>
        <v>99</v>
      </c>
      <c r="E10" s="70">
        <f>SUM(E4:E9)</f>
        <v>416.16999999999996</v>
      </c>
      <c r="F10" s="73"/>
      <c r="Q10" t="s">
        <v>5387</v>
      </c>
      <c r="R10" s="79" t="s">
        <v>5393</v>
      </c>
      <c r="S10" s="79" t="s">
        <v>5401</v>
      </c>
    </row>
    <row r="11" spans="3:22" x14ac:dyDescent="0.25">
      <c r="Q11" t="s">
        <v>5388</v>
      </c>
      <c r="R11" s="79" t="s">
        <v>5394</v>
      </c>
      <c r="S11" s="79" t="s">
        <v>5397</v>
      </c>
    </row>
    <row r="12" spans="3:22" x14ac:dyDescent="0.25">
      <c r="Q12" t="s">
        <v>5402</v>
      </c>
      <c r="R12" s="79" t="s">
        <v>5406</v>
      </c>
      <c r="S12" s="79" t="s">
        <v>5408</v>
      </c>
    </row>
    <row r="13" spans="3:22" x14ac:dyDescent="0.25">
      <c r="Q13" t="s">
        <v>5403</v>
      </c>
      <c r="R13" s="79" t="s">
        <v>5407</v>
      </c>
      <c r="S13" s="79" t="s">
        <v>5409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8ef1244-e02c-469e-bce2-db7baeb9d4e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B8D90-1610-4790-A070-7BB4D1696A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2020-12-31T19:29:44Z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